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saveExternalLinkValues="0" codeName="EstaPastaDeTrabalho"/>
  <mc:AlternateContent xmlns:mc="http://schemas.openxmlformats.org/markup-compatibility/2006">
    <mc:Choice Requires="x15">
      <x15ac:absPath xmlns:x15ac="http://schemas.microsoft.com/office/spreadsheetml/2010/11/ac" url="https://pfgovbr-my.sharepoint.com/personal/levi_lms_pf_gov_br/Documents/CPL 2023/_ Licitações/1.Pregões/0 formando/Limpeza-estudos/documentos da fase de planejamento/"/>
    </mc:Choice>
  </mc:AlternateContent>
  <xr:revisionPtr revIDLastSave="21" documentId="13_ncr:1_{92259553-4573-4582-9335-FDE2C2AADAB4}" xr6:coauthVersionLast="47" xr6:coauthVersionMax="47" xr10:uidLastSave="{61C930F2-5D6B-4320-8A13-9AA2172896B8}"/>
  <bookViews>
    <workbookView xWindow="-110" yWindow="-110" windowWidth="19420" windowHeight="10420" tabRatio="1000" firstSheet="2" activeTab="2" xr2:uid="{00000000-000D-0000-FFFF-FFFF00000000}"/>
  </bookViews>
  <sheets>
    <sheet name="VALOR HR" sheetId="35" state="hidden" r:id="rId1"/>
    <sheet name="AJUSTE LANCE " sheetId="33" state="hidden" r:id="rId2"/>
    <sheet name="Resumo" sheetId="38" r:id="rId3"/>
    <sheet name="INSUMOS" sheetId="41" state="hidden" r:id="rId4"/>
    <sheet name="MATERIAIS" sheetId="59" r:id="rId5"/>
    <sheet name="EQUIPAMENTOS" sheetId="60" r:id="rId6"/>
    <sheet name="Planilha1" sheetId="61" state="hidden" r:id="rId7"/>
    <sheet name="SR - ASG int" sheetId="40" r:id="rId8"/>
    <sheet name="SR - ASG GRAT COP" sheetId="72" r:id="rId9"/>
    <sheet name="SR - Encarregado" sheetId="42" r:id="rId10"/>
    <sheet name="SR - ASG ext" sheetId="48" r:id="rId11"/>
    <sheet name="SR - Copeira" sheetId="43" r:id="rId12"/>
    <sheet name="SR - Lavador" sheetId="44" r:id="rId13"/>
    <sheet name="CRA" sheetId="45" r:id="rId14"/>
    <sheet name="CRA COP" sheetId="62" r:id="rId15"/>
    <sheet name="DRS" sheetId="50" r:id="rId16"/>
    <sheet name="DRS COP" sheetId="63" r:id="rId17"/>
    <sheet name="DRS JARD" sheetId="64" r:id="rId18"/>
    <sheet name="TLS" sheetId="56" state="hidden" r:id="rId19"/>
    <sheet name="TLS COP" sheetId="65" r:id="rId20"/>
    <sheet name="TLS JARD" sheetId="66" r:id="rId21"/>
    <sheet name="PPA" sheetId="57" state="hidden" r:id="rId22"/>
    <sheet name="PPA COP" sheetId="67" r:id="rId23"/>
    <sheet name="PPA JARD" sheetId="68" r:id="rId24"/>
    <sheet name="NVI" sheetId="58" r:id="rId25"/>
    <sheet name="NVI COP" sheetId="69" r:id="rId26"/>
    <sheet name="NVI JARD" sheetId="70" r:id="rId27"/>
    <sheet name="2018 MS" sheetId="71" state="hidden" r:id="rId28"/>
  </sheets>
  <definedNames>
    <definedName name="_xlnm._FilterDatabase" localSheetId="4" hidden="1">MATERIAIS!$F$1:$F$144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9" i="38" l="1"/>
  <c r="B215" i="45"/>
  <c r="A214" i="42" l="1"/>
  <c r="B214" i="42" s="1"/>
  <c r="E15" i="38"/>
  <c r="E14" i="38"/>
  <c r="C69" i="69"/>
  <c r="C69" i="58"/>
  <c r="C69" i="68"/>
  <c r="C69" i="67"/>
  <c r="C69" i="57"/>
  <c r="C69" i="66"/>
  <c r="C69" i="65"/>
  <c r="C69" i="56"/>
  <c r="C69" i="64"/>
  <c r="C69" i="63"/>
  <c r="C69" i="50"/>
  <c r="C69" i="62"/>
  <c r="C69" i="44"/>
  <c r="C69" i="43"/>
  <c r="C69" i="48"/>
  <c r="C69" i="42"/>
  <c r="C69" i="72"/>
  <c r="D70" i="72" s="1"/>
  <c r="D71" i="72" s="1"/>
  <c r="C69" i="40"/>
  <c r="C11" i="42"/>
  <c r="C11" i="40"/>
  <c r="C197" i="72"/>
  <c r="C198" i="72" s="1"/>
  <c r="D180" i="72"/>
  <c r="D179" i="72"/>
  <c r="D177" i="72"/>
  <c r="C153" i="72"/>
  <c r="C162" i="72" s="1"/>
  <c r="D162" i="72" s="1"/>
  <c r="C152" i="72"/>
  <c r="C163" i="72" s="1"/>
  <c r="C151" i="72"/>
  <c r="C150" i="72"/>
  <c r="C149" i="72"/>
  <c r="C148" i="72"/>
  <c r="C154" i="72" s="1"/>
  <c r="C141" i="72"/>
  <c r="C120" i="72"/>
  <c r="C119" i="72"/>
  <c r="C109" i="72"/>
  <c r="C105" i="72"/>
  <c r="C104" i="72"/>
  <c r="C102" i="72"/>
  <c r="C94" i="72"/>
  <c r="C91" i="72"/>
  <c r="C90" i="72"/>
  <c r="C89" i="72"/>
  <c r="D76" i="72"/>
  <c r="D75" i="72"/>
  <c r="D74" i="72"/>
  <c r="D73" i="72"/>
  <c r="D72" i="72"/>
  <c r="D67" i="72"/>
  <c r="C63" i="72"/>
  <c r="C135" i="72" s="1"/>
  <c r="C50" i="72"/>
  <c r="D43" i="72"/>
  <c r="C37" i="72"/>
  <c r="C36" i="72"/>
  <c r="C32" i="72"/>
  <c r="D27" i="72"/>
  <c r="D42" i="72" s="1"/>
  <c r="D45" i="72" s="1"/>
  <c r="C12" i="72"/>
  <c r="C131" i="72" s="1"/>
  <c r="B214" i="72"/>
  <c r="C161" i="72" l="1"/>
  <c r="D161" i="72" s="1"/>
  <c r="C160" i="72"/>
  <c r="C81" i="72"/>
  <c r="C96" i="72"/>
  <c r="C97" i="72"/>
  <c r="C51" i="72"/>
  <c r="D68" i="72"/>
  <c r="D66" i="72" s="1"/>
  <c r="C124" i="72"/>
  <c r="C164" i="72"/>
  <c r="D28" i="72"/>
  <c r="D37" i="72" s="1"/>
  <c r="C142" i="72"/>
  <c r="D69" i="72"/>
  <c r="C98" i="72"/>
  <c r="C106" i="72"/>
  <c r="C157" i="72"/>
  <c r="C66" i="70"/>
  <c r="C66" i="69"/>
  <c r="C66" i="64"/>
  <c r="C66" i="63"/>
  <c r="C66" i="62"/>
  <c r="C66" i="66"/>
  <c r="C66" i="65"/>
  <c r="C66" i="68"/>
  <c r="C66" i="67"/>
  <c r="C71" i="70"/>
  <c r="C71" i="69"/>
  <c r="C71" i="58"/>
  <c r="C71" i="68"/>
  <c r="C71" i="67"/>
  <c r="C71" i="57"/>
  <c r="C71" i="66"/>
  <c r="C71" i="65"/>
  <c r="C71" i="56"/>
  <c r="C71" i="64"/>
  <c r="C71" i="63"/>
  <c r="C71" i="50"/>
  <c r="C71" i="62"/>
  <c r="C71" i="45"/>
  <c r="C71" i="44"/>
  <c r="C71" i="43"/>
  <c r="C71" i="48"/>
  <c r="C71" i="42"/>
  <c r="D70" i="40"/>
  <c r="D73" i="40"/>
  <c r="D75" i="40"/>
  <c r="C89" i="40"/>
  <c r="C72" i="70"/>
  <c r="C72" i="69"/>
  <c r="C72" i="58"/>
  <c r="C72" i="68"/>
  <c r="C72" i="67"/>
  <c r="C72" i="57"/>
  <c r="C72" i="66"/>
  <c r="C72" i="65"/>
  <c r="C72" i="56"/>
  <c r="C72" i="64"/>
  <c r="C72" i="63"/>
  <c r="C72" i="50"/>
  <c r="C72" i="62"/>
  <c r="C72" i="45"/>
  <c r="C72" i="44"/>
  <c r="D36" i="72" l="1"/>
  <c r="D77" i="72"/>
  <c r="D35" i="72"/>
  <c r="C52" i="72"/>
  <c r="C80" i="72" s="1"/>
  <c r="D34" i="72"/>
  <c r="D31" i="72"/>
  <c r="D30" i="72" s="1"/>
  <c r="D32" i="72"/>
  <c r="D160" i="72"/>
  <c r="C69" i="45"/>
  <c r="D70" i="42"/>
  <c r="C11" i="70"/>
  <c r="C11" i="69"/>
  <c r="C11" i="58"/>
  <c r="C11" i="68"/>
  <c r="C11" i="67"/>
  <c r="C11" i="57"/>
  <c r="C11" i="56"/>
  <c r="C11" i="64"/>
  <c r="C11" i="63"/>
  <c r="C11" i="50"/>
  <c r="C11" i="45"/>
  <c r="D33" i="72" l="1"/>
  <c r="D39" i="72" s="1"/>
  <c r="D143" i="72"/>
  <c r="D82" i="72"/>
  <c r="D107" i="72"/>
  <c r="B215" i="70"/>
  <c r="D207" i="70"/>
  <c r="C198" i="70"/>
  <c r="C192" i="70"/>
  <c r="C190" i="70"/>
  <c r="C199" i="70" s="1"/>
  <c r="D177" i="70"/>
  <c r="C162" i="70"/>
  <c r="D162" i="70" s="1"/>
  <c r="C157" i="70"/>
  <c r="C153" i="70"/>
  <c r="C164" i="70" s="1"/>
  <c r="C152" i="70"/>
  <c r="C163" i="70" s="1"/>
  <c r="C151" i="70"/>
  <c r="C150" i="70"/>
  <c r="C149" i="70"/>
  <c r="C148" i="70"/>
  <c r="C154" i="70" s="1"/>
  <c r="C141" i="70"/>
  <c r="C123" i="70"/>
  <c r="C122" i="70"/>
  <c r="C111" i="70"/>
  <c r="C120" i="70" s="1"/>
  <c r="C109" i="70"/>
  <c r="C105" i="70"/>
  <c r="C104" i="70"/>
  <c r="C99" i="70"/>
  <c r="C94" i="70"/>
  <c r="C91" i="70"/>
  <c r="C90" i="70"/>
  <c r="D76" i="70"/>
  <c r="D74" i="70"/>
  <c r="D73" i="70"/>
  <c r="C73" i="70"/>
  <c r="D72" i="70"/>
  <c r="C69" i="70"/>
  <c r="D70" i="70" s="1"/>
  <c r="D67" i="70"/>
  <c r="C63" i="70"/>
  <c r="C142" i="70" s="1"/>
  <c r="C50" i="70"/>
  <c r="D43" i="70"/>
  <c r="D42" i="70"/>
  <c r="D45" i="70" s="1"/>
  <c r="C37" i="70"/>
  <c r="C36" i="70"/>
  <c r="C32" i="70"/>
  <c r="D28" i="70"/>
  <c r="D27" i="70"/>
  <c r="C27" i="70"/>
  <c r="D35" i="70" s="1"/>
  <c r="C12" i="70"/>
  <c r="C89" i="70" s="1"/>
  <c r="D207" i="69"/>
  <c r="C198" i="69"/>
  <c r="C192" i="69"/>
  <c r="C190" i="69"/>
  <c r="C199" i="69" s="1"/>
  <c r="D177" i="69"/>
  <c r="C153" i="69"/>
  <c r="C162" i="69" s="1"/>
  <c r="D162" i="69" s="1"/>
  <c r="C152" i="69"/>
  <c r="C163" i="69" s="1"/>
  <c r="C151" i="69"/>
  <c r="C150" i="69"/>
  <c r="C149" i="69"/>
  <c r="C148" i="69"/>
  <c r="C154" i="69" s="1"/>
  <c r="C141" i="69"/>
  <c r="C123" i="69"/>
  <c r="C122" i="69"/>
  <c r="C111" i="69"/>
  <c r="C120" i="69" s="1"/>
  <c r="C109" i="69"/>
  <c r="C105" i="69"/>
  <c r="C104" i="69"/>
  <c r="C99" i="69"/>
  <c r="C98" i="69"/>
  <c r="C96" i="69"/>
  <c r="C94" i="69"/>
  <c r="C91" i="69"/>
  <c r="C90" i="69"/>
  <c r="C89" i="69"/>
  <c r="D76" i="69"/>
  <c r="D74" i="69"/>
  <c r="D73" i="69"/>
  <c r="C73" i="69"/>
  <c r="D72" i="69"/>
  <c r="D70" i="69"/>
  <c r="D71" i="69" s="1"/>
  <c r="D67" i="69"/>
  <c r="C63" i="69"/>
  <c r="C142" i="69" s="1"/>
  <c r="C50" i="69"/>
  <c r="D43" i="69"/>
  <c r="C37" i="69"/>
  <c r="C36" i="69"/>
  <c r="C32" i="69"/>
  <c r="C27" i="69"/>
  <c r="C12" i="69"/>
  <c r="C131" i="69" s="1"/>
  <c r="B215" i="69"/>
  <c r="B215" i="68"/>
  <c r="C198" i="68"/>
  <c r="C192" i="68"/>
  <c r="C190" i="68"/>
  <c r="C199" i="68" s="1"/>
  <c r="D177" i="68"/>
  <c r="C162" i="68"/>
  <c r="D162" i="68" s="1"/>
  <c r="C157" i="68"/>
  <c r="C153" i="68"/>
  <c r="C164" i="68" s="1"/>
  <c r="C152" i="68"/>
  <c r="C163" i="68" s="1"/>
  <c r="C151" i="68"/>
  <c r="C150" i="68"/>
  <c r="C149" i="68"/>
  <c r="C148" i="68"/>
  <c r="C154" i="68" s="1"/>
  <c r="C141" i="68"/>
  <c r="C135" i="68"/>
  <c r="C123" i="68"/>
  <c r="C122" i="68"/>
  <c r="C111" i="68"/>
  <c r="C102" i="68" s="1"/>
  <c r="C109" i="68"/>
  <c r="C105" i="68"/>
  <c r="C104" i="68"/>
  <c r="C99" i="68"/>
  <c r="C94" i="68"/>
  <c r="C91" i="68"/>
  <c r="C90" i="68"/>
  <c r="D76" i="68"/>
  <c r="D74" i="68"/>
  <c r="D73" i="68"/>
  <c r="C73" i="68"/>
  <c r="D72" i="68"/>
  <c r="D70" i="68"/>
  <c r="D71" i="68" s="1"/>
  <c r="D69" i="68" s="1"/>
  <c r="D67" i="68"/>
  <c r="C63" i="68"/>
  <c r="C142" i="68" s="1"/>
  <c r="C50" i="68"/>
  <c r="D43" i="68"/>
  <c r="C37" i="68"/>
  <c r="C36" i="68"/>
  <c r="C32" i="68"/>
  <c r="C27" i="68"/>
  <c r="C12" i="68"/>
  <c r="C89" i="68" s="1"/>
  <c r="B215" i="67"/>
  <c r="C198" i="67"/>
  <c r="C192" i="67"/>
  <c r="C190" i="67"/>
  <c r="C199" i="67" s="1"/>
  <c r="D177" i="67"/>
  <c r="C162" i="67"/>
  <c r="D162" i="67" s="1"/>
  <c r="C157" i="67"/>
  <c r="C153" i="67"/>
  <c r="C152" i="67"/>
  <c r="C163" i="67" s="1"/>
  <c r="C151" i="67"/>
  <c r="C150" i="67"/>
  <c r="C149" i="67"/>
  <c r="C148" i="67"/>
  <c r="C154" i="67" s="1"/>
  <c r="C141" i="67"/>
  <c r="C123" i="67"/>
  <c r="C122" i="67"/>
  <c r="C111" i="67"/>
  <c r="C120" i="67" s="1"/>
  <c r="C109" i="67"/>
  <c r="C105" i="67"/>
  <c r="C104" i="67"/>
  <c r="C99" i="67"/>
  <c r="C94" i="67"/>
  <c r="C91" i="67"/>
  <c r="C90" i="67"/>
  <c r="D76" i="67"/>
  <c r="D74" i="67"/>
  <c r="C73" i="67"/>
  <c r="D73" i="67" s="1"/>
  <c r="D72" i="67"/>
  <c r="D70" i="67"/>
  <c r="D67" i="67"/>
  <c r="C63" i="67"/>
  <c r="C142" i="67" s="1"/>
  <c r="C50" i="67"/>
  <c r="D43" i="67"/>
  <c r="C37" i="67"/>
  <c r="C36" i="67"/>
  <c r="C32" i="67"/>
  <c r="D27" i="67"/>
  <c r="D42" i="67" s="1"/>
  <c r="D45" i="67" s="1"/>
  <c r="C27" i="67"/>
  <c r="C12" i="67"/>
  <c r="C89" i="67" s="1"/>
  <c r="B215" i="66"/>
  <c r="C198" i="66"/>
  <c r="C192" i="66"/>
  <c r="C190" i="66"/>
  <c r="C199" i="66" s="1"/>
  <c r="D177" i="66"/>
  <c r="C162" i="66"/>
  <c r="D162" i="66" s="1"/>
  <c r="C157" i="66"/>
  <c r="C153" i="66"/>
  <c r="C164" i="66" s="1"/>
  <c r="C152" i="66"/>
  <c r="C163" i="66" s="1"/>
  <c r="C151" i="66"/>
  <c r="C150" i="66"/>
  <c r="C149" i="66"/>
  <c r="C148" i="66"/>
  <c r="C154" i="66" s="1"/>
  <c r="C141" i="66"/>
  <c r="C123" i="66"/>
  <c r="C122" i="66"/>
  <c r="C111" i="66"/>
  <c r="C120" i="66" s="1"/>
  <c r="C109" i="66"/>
  <c r="C105" i="66"/>
  <c r="C104" i="66"/>
  <c r="C99" i="66"/>
  <c r="C94" i="66"/>
  <c r="C91" i="66"/>
  <c r="C90" i="66"/>
  <c r="D76" i="66"/>
  <c r="D74" i="66"/>
  <c r="C73" i="66"/>
  <c r="D72" i="66"/>
  <c r="D70" i="66"/>
  <c r="D71" i="66" s="1"/>
  <c r="D69" i="66" s="1"/>
  <c r="D67" i="66"/>
  <c r="C63" i="66"/>
  <c r="C142" i="66" s="1"/>
  <c r="C50" i="66"/>
  <c r="D43" i="66"/>
  <c r="C37" i="66"/>
  <c r="C36" i="66"/>
  <c r="C32" i="66"/>
  <c r="C27" i="66"/>
  <c r="C12" i="66"/>
  <c r="C98" i="66" s="1"/>
  <c r="C11" i="66"/>
  <c r="B215" i="65"/>
  <c r="C198" i="65"/>
  <c r="C192" i="65"/>
  <c r="C190" i="65"/>
  <c r="C199" i="65" s="1"/>
  <c r="D177" i="65"/>
  <c r="C162" i="65"/>
  <c r="D162" i="65" s="1"/>
  <c r="C157" i="65"/>
  <c r="C153" i="65"/>
  <c r="C164" i="65" s="1"/>
  <c r="C152" i="65"/>
  <c r="C163" i="65" s="1"/>
  <c r="C151" i="65"/>
  <c r="C150" i="65"/>
  <c r="C149" i="65"/>
  <c r="C148" i="65"/>
  <c r="C154" i="65" s="1"/>
  <c r="C141" i="65"/>
  <c r="C123" i="65"/>
  <c r="C122" i="65"/>
  <c r="C111" i="65"/>
  <c r="C102" i="65" s="1"/>
  <c r="C109" i="65"/>
  <c r="C105" i="65"/>
  <c r="C104" i="65"/>
  <c r="C99" i="65"/>
  <c r="C94" i="65"/>
  <c r="C91" i="65"/>
  <c r="C90" i="65"/>
  <c r="D76" i="65"/>
  <c r="D74" i="65"/>
  <c r="C73" i="65"/>
  <c r="D72" i="65"/>
  <c r="D70" i="65"/>
  <c r="D71" i="65" s="1"/>
  <c r="D69" i="65" s="1"/>
  <c r="D67" i="65"/>
  <c r="C63" i="65"/>
  <c r="C142" i="65" s="1"/>
  <c r="C50" i="65"/>
  <c r="D43" i="65"/>
  <c r="C37" i="65"/>
  <c r="C36" i="65"/>
  <c r="C32" i="65"/>
  <c r="C27" i="65"/>
  <c r="D27" i="65" s="1"/>
  <c r="C12" i="65"/>
  <c r="C98" i="65" s="1"/>
  <c r="C11" i="65"/>
  <c r="B215" i="64"/>
  <c r="C198" i="64"/>
  <c r="C192" i="64"/>
  <c r="C190" i="64"/>
  <c r="C199" i="64" s="1"/>
  <c r="D177" i="64"/>
  <c r="C162" i="64"/>
  <c r="D162" i="64" s="1"/>
  <c r="C157" i="64"/>
  <c r="C153" i="64"/>
  <c r="C164" i="64" s="1"/>
  <c r="C152" i="64"/>
  <c r="C163" i="64" s="1"/>
  <c r="C151" i="64"/>
  <c r="C150" i="64"/>
  <c r="C149" i="64"/>
  <c r="C148" i="64"/>
  <c r="C154" i="64" s="1"/>
  <c r="C141" i="64"/>
  <c r="C123" i="64"/>
  <c r="C122" i="64"/>
  <c r="C111" i="64"/>
  <c r="C102" i="64" s="1"/>
  <c r="C109" i="64"/>
  <c r="C105" i="64"/>
  <c r="C104" i="64"/>
  <c r="C99" i="64"/>
  <c r="C94" i="64"/>
  <c r="C91" i="64"/>
  <c r="C90" i="64"/>
  <c r="D76" i="64"/>
  <c r="D74" i="64"/>
  <c r="C73" i="64"/>
  <c r="D72" i="64"/>
  <c r="D70" i="64"/>
  <c r="D71" i="64" s="1"/>
  <c r="D69" i="64" s="1"/>
  <c r="D67" i="64"/>
  <c r="C63" i="64"/>
  <c r="C142" i="64" s="1"/>
  <c r="C50" i="64"/>
  <c r="D43" i="64"/>
  <c r="C37" i="64"/>
  <c r="C36" i="64"/>
  <c r="C32" i="64"/>
  <c r="C27" i="64"/>
  <c r="D27" i="64" s="1"/>
  <c r="C12" i="64"/>
  <c r="C89" i="64" s="1"/>
  <c r="C198" i="63"/>
  <c r="C192" i="63"/>
  <c r="C190" i="63"/>
  <c r="C199" i="63" s="1"/>
  <c r="D177" i="63"/>
  <c r="C153" i="63"/>
  <c r="C162" i="63" s="1"/>
  <c r="D162" i="63" s="1"/>
  <c r="C152" i="63"/>
  <c r="C163" i="63" s="1"/>
  <c r="C151" i="63"/>
  <c r="C150" i="63"/>
  <c r="C154" i="63" s="1"/>
  <c r="C149" i="63"/>
  <c r="C148" i="63"/>
  <c r="C141" i="63"/>
  <c r="C123" i="63"/>
  <c r="C122" i="63"/>
  <c r="C120" i="63"/>
  <c r="C111" i="63"/>
  <c r="C109" i="63"/>
  <c r="C105" i="63"/>
  <c r="C104" i="63"/>
  <c r="C102" i="63"/>
  <c r="C99" i="63"/>
  <c r="C94" i="63"/>
  <c r="C91" i="63"/>
  <c r="C90" i="63"/>
  <c r="C81" i="63"/>
  <c r="D76" i="63"/>
  <c r="D74" i="63"/>
  <c r="D73" i="63"/>
  <c r="C73" i="63"/>
  <c r="D72" i="63"/>
  <c r="D70" i="63"/>
  <c r="D71" i="63" s="1"/>
  <c r="D67" i="63"/>
  <c r="C63" i="63"/>
  <c r="C142" i="63" s="1"/>
  <c r="C51" i="63"/>
  <c r="C50" i="63"/>
  <c r="C52" i="63" s="1"/>
  <c r="C80" i="63" s="1"/>
  <c r="D43" i="63"/>
  <c r="C37" i="63"/>
  <c r="C36" i="63"/>
  <c r="C32" i="63"/>
  <c r="C27" i="63"/>
  <c r="C12" i="63"/>
  <c r="C89" i="63" s="1"/>
  <c r="B215" i="63"/>
  <c r="C198" i="62"/>
  <c r="C192" i="62"/>
  <c r="C190" i="62"/>
  <c r="C199" i="62" s="1"/>
  <c r="D177" i="62"/>
  <c r="C162" i="62"/>
  <c r="C157" i="62"/>
  <c r="C153" i="62"/>
  <c r="C152" i="62"/>
  <c r="C163" i="62" s="1"/>
  <c r="C151" i="62"/>
  <c r="C150" i="62"/>
  <c r="C149" i="62"/>
  <c r="C148" i="62"/>
  <c r="C154" i="62" s="1"/>
  <c r="C141" i="62"/>
  <c r="C123" i="62"/>
  <c r="C122" i="62"/>
  <c r="C111" i="62"/>
  <c r="C120" i="62" s="1"/>
  <c r="C109" i="62"/>
  <c r="C105" i="62"/>
  <c r="C104" i="62"/>
  <c r="C99" i="62"/>
  <c r="C94" i="62"/>
  <c r="C91" i="62"/>
  <c r="C90" i="62"/>
  <c r="D76" i="62"/>
  <c r="D74" i="62"/>
  <c r="D162" i="62" s="1"/>
  <c r="C73" i="62"/>
  <c r="D73" i="62" s="1"/>
  <c r="D72" i="62"/>
  <c r="D70" i="62"/>
  <c r="D71" i="62" s="1"/>
  <c r="D69" i="62" s="1"/>
  <c r="D67" i="62"/>
  <c r="C63" i="62"/>
  <c r="C142" i="62" s="1"/>
  <c r="C50" i="62"/>
  <c r="D43" i="62"/>
  <c r="C37" i="62"/>
  <c r="C36" i="62"/>
  <c r="C32" i="62"/>
  <c r="C27" i="62"/>
  <c r="C12" i="62"/>
  <c r="C98" i="62" s="1"/>
  <c r="C11" i="62"/>
  <c r="B215" i="62" s="1"/>
  <c r="D28" i="45"/>
  <c r="F10" i="59"/>
  <c r="J133" i="60"/>
  <c r="K133" i="60"/>
  <c r="L133" i="60"/>
  <c r="I133" i="60"/>
  <c r="G6" i="60"/>
  <c r="H6" i="60"/>
  <c r="I6" i="60"/>
  <c r="J6" i="60"/>
  <c r="K6" i="60"/>
  <c r="L6" i="60"/>
  <c r="L132" i="60" s="1"/>
  <c r="G8" i="60"/>
  <c r="H8" i="60"/>
  <c r="I8" i="60"/>
  <c r="J8" i="60"/>
  <c r="K8" i="60"/>
  <c r="L8" i="60"/>
  <c r="G10" i="60"/>
  <c r="H10" i="60"/>
  <c r="I10" i="60"/>
  <c r="J10" i="60"/>
  <c r="K10" i="60"/>
  <c r="K132" i="60" s="1"/>
  <c r="L10" i="60"/>
  <c r="G12" i="60"/>
  <c r="H12" i="60"/>
  <c r="I12" i="60"/>
  <c r="J12" i="60"/>
  <c r="K12" i="60"/>
  <c r="L12" i="60"/>
  <c r="G14" i="60"/>
  <c r="H14" i="60"/>
  <c r="I14" i="60"/>
  <c r="J14" i="60"/>
  <c r="K14" i="60"/>
  <c r="L14" i="60"/>
  <c r="G16" i="60"/>
  <c r="H16" i="60"/>
  <c r="I16" i="60"/>
  <c r="J16" i="60"/>
  <c r="K16" i="60"/>
  <c r="L16" i="60"/>
  <c r="G18" i="60"/>
  <c r="H18" i="60"/>
  <c r="I18" i="60"/>
  <c r="J18" i="60"/>
  <c r="K18" i="60"/>
  <c r="L18" i="60"/>
  <c r="G21" i="60"/>
  <c r="H21" i="60"/>
  <c r="I21" i="60"/>
  <c r="J21" i="60"/>
  <c r="K21" i="60"/>
  <c r="L21" i="60"/>
  <c r="G23" i="60"/>
  <c r="H23" i="60"/>
  <c r="I23" i="60"/>
  <c r="J23" i="60"/>
  <c r="K23" i="60"/>
  <c r="L23" i="60"/>
  <c r="G25" i="60"/>
  <c r="H25" i="60"/>
  <c r="I25" i="60"/>
  <c r="J25" i="60"/>
  <c r="K25" i="60"/>
  <c r="L25" i="60"/>
  <c r="G27" i="60"/>
  <c r="H27" i="60"/>
  <c r="I27" i="60"/>
  <c r="J27" i="60"/>
  <c r="K27" i="60"/>
  <c r="L27" i="60"/>
  <c r="G29" i="60"/>
  <c r="H29" i="60"/>
  <c r="I29" i="60"/>
  <c r="J29" i="60"/>
  <c r="K29" i="60"/>
  <c r="L29" i="60"/>
  <c r="G31" i="60"/>
  <c r="H31" i="60"/>
  <c r="I31" i="60"/>
  <c r="J31" i="60"/>
  <c r="K31" i="60"/>
  <c r="L31" i="60"/>
  <c r="G33" i="60"/>
  <c r="H33" i="60"/>
  <c r="I33" i="60"/>
  <c r="J33" i="60"/>
  <c r="K33" i="60"/>
  <c r="L33" i="60"/>
  <c r="G35" i="60"/>
  <c r="H35" i="60"/>
  <c r="I35" i="60"/>
  <c r="J35" i="60"/>
  <c r="K35" i="60"/>
  <c r="L35" i="60"/>
  <c r="G37" i="60"/>
  <c r="H37" i="60"/>
  <c r="I37" i="60"/>
  <c r="J37" i="60"/>
  <c r="K37" i="60"/>
  <c r="L37" i="60"/>
  <c r="G39" i="60"/>
  <c r="H39" i="60"/>
  <c r="I39" i="60"/>
  <c r="J39" i="60"/>
  <c r="K39" i="60"/>
  <c r="L39" i="60"/>
  <c r="G41" i="60"/>
  <c r="H41" i="60"/>
  <c r="I41" i="60"/>
  <c r="J41" i="60"/>
  <c r="K41" i="60"/>
  <c r="L41" i="60"/>
  <c r="G43" i="60"/>
  <c r="H43" i="60"/>
  <c r="I43" i="60"/>
  <c r="J43" i="60"/>
  <c r="K43" i="60"/>
  <c r="L43" i="60"/>
  <c r="G45" i="60"/>
  <c r="H45" i="60"/>
  <c r="I45" i="60"/>
  <c r="J45" i="60"/>
  <c r="K45" i="60"/>
  <c r="L45" i="60"/>
  <c r="G47" i="60"/>
  <c r="H47" i="60"/>
  <c r="I47" i="60"/>
  <c r="J47" i="60"/>
  <c r="K47" i="60"/>
  <c r="L47" i="60"/>
  <c r="G49" i="60"/>
  <c r="H49" i="60"/>
  <c r="I49" i="60"/>
  <c r="J49" i="60"/>
  <c r="K49" i="60"/>
  <c r="L49" i="60"/>
  <c r="G51" i="60"/>
  <c r="H51" i="60"/>
  <c r="I51" i="60"/>
  <c r="J51" i="60"/>
  <c r="K51" i="60"/>
  <c r="L51" i="60"/>
  <c r="G53" i="60"/>
  <c r="H53" i="60"/>
  <c r="I53" i="60"/>
  <c r="J53" i="60"/>
  <c r="K53" i="60"/>
  <c r="L53" i="60"/>
  <c r="G55" i="60"/>
  <c r="H55" i="60"/>
  <c r="I55" i="60"/>
  <c r="J55" i="60"/>
  <c r="K55" i="60"/>
  <c r="L55" i="60"/>
  <c r="G57" i="60"/>
  <c r="H57" i="60"/>
  <c r="I57" i="60"/>
  <c r="J57" i="60"/>
  <c r="K57" i="60"/>
  <c r="L57" i="60"/>
  <c r="G59" i="60"/>
  <c r="H59" i="60"/>
  <c r="I59" i="60"/>
  <c r="J59" i="60"/>
  <c r="K59" i="60"/>
  <c r="L59" i="60"/>
  <c r="G61" i="60"/>
  <c r="H61" i="60"/>
  <c r="I61" i="60"/>
  <c r="J61" i="60"/>
  <c r="K61" i="60"/>
  <c r="L61" i="60"/>
  <c r="G63" i="60"/>
  <c r="H63" i="60"/>
  <c r="I63" i="60"/>
  <c r="J63" i="60"/>
  <c r="K63" i="60"/>
  <c r="L63" i="60"/>
  <c r="G65" i="60"/>
  <c r="H65" i="60"/>
  <c r="I65" i="60"/>
  <c r="J65" i="60"/>
  <c r="K65" i="60"/>
  <c r="L65" i="60"/>
  <c r="G67" i="60"/>
  <c r="H67" i="60"/>
  <c r="I67" i="60"/>
  <c r="J67" i="60"/>
  <c r="K67" i="60"/>
  <c r="L67" i="60"/>
  <c r="G69" i="60"/>
  <c r="H69" i="60"/>
  <c r="I69" i="60"/>
  <c r="J69" i="60"/>
  <c r="K69" i="60"/>
  <c r="L69" i="60"/>
  <c r="G71" i="60"/>
  <c r="H71" i="60"/>
  <c r="I71" i="60"/>
  <c r="J71" i="60"/>
  <c r="K71" i="60"/>
  <c r="L71" i="60"/>
  <c r="G73" i="60"/>
  <c r="H73" i="60"/>
  <c r="I73" i="60"/>
  <c r="J73" i="60"/>
  <c r="K73" i="60"/>
  <c r="L73" i="60"/>
  <c r="G75" i="60"/>
  <c r="H75" i="60"/>
  <c r="I75" i="60"/>
  <c r="J75" i="60"/>
  <c r="K75" i="60"/>
  <c r="L75" i="60"/>
  <c r="G77" i="60"/>
  <c r="H77" i="60"/>
  <c r="I77" i="60"/>
  <c r="J77" i="60"/>
  <c r="K77" i="60"/>
  <c r="L77" i="60"/>
  <c r="G79" i="60"/>
  <c r="H79" i="60"/>
  <c r="I79" i="60"/>
  <c r="J79" i="60"/>
  <c r="K79" i="60"/>
  <c r="L79" i="60"/>
  <c r="G81" i="60"/>
  <c r="H81" i="60"/>
  <c r="I81" i="60"/>
  <c r="J81" i="60"/>
  <c r="K81" i="60"/>
  <c r="L81" i="60"/>
  <c r="G83" i="60"/>
  <c r="H83" i="60"/>
  <c r="I83" i="60"/>
  <c r="J83" i="60"/>
  <c r="K83" i="60"/>
  <c r="L83" i="60"/>
  <c r="G85" i="60"/>
  <c r="H85" i="60"/>
  <c r="I85" i="60"/>
  <c r="J85" i="60"/>
  <c r="K85" i="60"/>
  <c r="L85" i="60"/>
  <c r="G87" i="60"/>
  <c r="H87" i="60"/>
  <c r="I87" i="60"/>
  <c r="J87" i="60"/>
  <c r="K87" i="60"/>
  <c r="L87" i="60"/>
  <c r="G89" i="60"/>
  <c r="H89" i="60"/>
  <c r="I89" i="60"/>
  <c r="J89" i="60"/>
  <c r="K89" i="60"/>
  <c r="L89" i="60"/>
  <c r="G91" i="60"/>
  <c r="H91" i="60"/>
  <c r="I91" i="60"/>
  <c r="J91" i="60"/>
  <c r="K91" i="60"/>
  <c r="L91" i="60"/>
  <c r="G93" i="60"/>
  <c r="H93" i="60"/>
  <c r="I93" i="60"/>
  <c r="J93" i="60"/>
  <c r="K93" i="60"/>
  <c r="L93" i="60"/>
  <c r="G95" i="60"/>
  <c r="H95" i="60"/>
  <c r="I95" i="60"/>
  <c r="J95" i="60"/>
  <c r="K95" i="60"/>
  <c r="L95" i="60"/>
  <c r="G97" i="60"/>
  <c r="H97" i="60"/>
  <c r="I97" i="60"/>
  <c r="J97" i="60"/>
  <c r="K97" i="60"/>
  <c r="L97" i="60"/>
  <c r="G99" i="60"/>
  <c r="H99" i="60"/>
  <c r="I99" i="60"/>
  <c r="J99" i="60"/>
  <c r="K99" i="60"/>
  <c r="L99" i="60"/>
  <c r="G101" i="60"/>
  <c r="H101" i="60"/>
  <c r="I101" i="60"/>
  <c r="J101" i="60"/>
  <c r="K101" i="60"/>
  <c r="L101" i="60"/>
  <c r="G103" i="60"/>
  <c r="H103" i="60"/>
  <c r="I103" i="60"/>
  <c r="J103" i="60"/>
  <c r="K103" i="60"/>
  <c r="L103" i="60"/>
  <c r="G105" i="60"/>
  <c r="H105" i="60"/>
  <c r="I105" i="60"/>
  <c r="J105" i="60"/>
  <c r="K105" i="60"/>
  <c r="L105" i="60"/>
  <c r="G107" i="60"/>
  <c r="H107" i="60"/>
  <c r="I107" i="60"/>
  <c r="J107" i="60"/>
  <c r="K107" i="60"/>
  <c r="L107" i="60"/>
  <c r="G109" i="60"/>
  <c r="H109" i="60"/>
  <c r="I109" i="60"/>
  <c r="J109" i="60"/>
  <c r="K109" i="60"/>
  <c r="L109" i="60"/>
  <c r="G111" i="60"/>
  <c r="H111" i="60"/>
  <c r="I111" i="60"/>
  <c r="J111" i="60"/>
  <c r="K111" i="60"/>
  <c r="L111" i="60"/>
  <c r="G113" i="60"/>
  <c r="H113" i="60"/>
  <c r="I113" i="60"/>
  <c r="J113" i="60"/>
  <c r="K113" i="60"/>
  <c r="L113" i="60"/>
  <c r="G115" i="60"/>
  <c r="H115" i="60"/>
  <c r="I115" i="60"/>
  <c r="J115" i="60"/>
  <c r="K115" i="60"/>
  <c r="L115" i="60"/>
  <c r="G117" i="60"/>
  <c r="G119" i="60"/>
  <c r="G121" i="60"/>
  <c r="G123" i="60"/>
  <c r="G125" i="60"/>
  <c r="G127" i="60"/>
  <c r="G129" i="60"/>
  <c r="G131" i="60"/>
  <c r="H133" i="60"/>
  <c r="F139" i="60"/>
  <c r="G140" i="60" s="1"/>
  <c r="F141" i="60"/>
  <c r="G142" i="60"/>
  <c r="B215" i="48"/>
  <c r="C82" i="72" l="1"/>
  <c r="D89" i="72"/>
  <c r="D90" i="72" s="1"/>
  <c r="D92" i="72" s="1"/>
  <c r="D50" i="72"/>
  <c r="D52" i="72" s="1"/>
  <c r="D132" i="72"/>
  <c r="D96" i="72"/>
  <c r="D98" i="72"/>
  <c r="D137" i="72"/>
  <c r="C138" i="72" s="1"/>
  <c r="D202" i="72"/>
  <c r="D103" i="72"/>
  <c r="D105" i="72" s="1"/>
  <c r="C45" i="72"/>
  <c r="D140" i="72"/>
  <c r="D158" i="72" s="1"/>
  <c r="D97" i="72"/>
  <c r="D95" i="72" s="1"/>
  <c r="D110" i="72" s="1"/>
  <c r="D109" i="72" s="1"/>
  <c r="D108" i="72" s="1"/>
  <c r="C114" i="72"/>
  <c r="C115" i="72" s="1"/>
  <c r="C132" i="72"/>
  <c r="D51" i="72"/>
  <c r="C134" i="72" s="1"/>
  <c r="D134" i="72" s="1"/>
  <c r="D114" i="72"/>
  <c r="D91" i="72"/>
  <c r="D71" i="70"/>
  <c r="D69" i="70" s="1"/>
  <c r="D71" i="67"/>
  <c r="D69" i="67" s="1"/>
  <c r="K134" i="60"/>
  <c r="C161" i="70"/>
  <c r="C160" i="70"/>
  <c r="C119" i="70"/>
  <c r="D36" i="70"/>
  <c r="C81" i="70"/>
  <c r="C106" i="70"/>
  <c r="C124" i="70"/>
  <c r="C96" i="70"/>
  <c r="C102" i="70"/>
  <c r="D31" i="70"/>
  <c r="D30" i="70" s="1"/>
  <c r="D39" i="70" s="1"/>
  <c r="D37" i="70"/>
  <c r="C51" i="70"/>
  <c r="D68" i="70"/>
  <c r="D66" i="70" s="1"/>
  <c r="D32" i="70"/>
  <c r="C97" i="70"/>
  <c r="C131" i="70"/>
  <c r="C135" i="70"/>
  <c r="D34" i="70"/>
  <c r="D33" i="70" s="1"/>
  <c r="C98" i="70"/>
  <c r="C161" i="69"/>
  <c r="C160" i="69"/>
  <c r="C119" i="69"/>
  <c r="C81" i="69"/>
  <c r="C106" i="69"/>
  <c r="C124" i="69"/>
  <c r="C164" i="69"/>
  <c r="C102" i="69"/>
  <c r="C51" i="69"/>
  <c r="C97" i="69"/>
  <c r="D69" i="69"/>
  <c r="C135" i="69"/>
  <c r="C157" i="69"/>
  <c r="D27" i="69"/>
  <c r="D42" i="69" s="1"/>
  <c r="D45" i="69" s="1"/>
  <c r="C161" i="68"/>
  <c r="D161" i="68" s="1"/>
  <c r="C160" i="68"/>
  <c r="C119" i="68"/>
  <c r="C81" i="68"/>
  <c r="C106" i="68"/>
  <c r="C124" i="68"/>
  <c r="C120" i="68"/>
  <c r="C51" i="68"/>
  <c r="C97" i="68"/>
  <c r="C131" i="68"/>
  <c r="C98" i="68"/>
  <c r="C96" i="68" s="1"/>
  <c r="D27" i="68"/>
  <c r="C161" i="67"/>
  <c r="C160" i="67"/>
  <c r="C119" i="67"/>
  <c r="C81" i="67"/>
  <c r="C106" i="67"/>
  <c r="C124" i="67"/>
  <c r="C164" i="67"/>
  <c r="C102" i="67"/>
  <c r="D28" i="67"/>
  <c r="D37" i="67" s="1"/>
  <c r="C51" i="67"/>
  <c r="D68" i="67"/>
  <c r="D66" i="67" s="1"/>
  <c r="C97" i="67"/>
  <c r="C131" i="67"/>
  <c r="C135" i="67"/>
  <c r="C98" i="67"/>
  <c r="C96" i="67" s="1"/>
  <c r="C161" i="66"/>
  <c r="D161" i="66" s="1"/>
  <c r="C160" i="66"/>
  <c r="C119" i="66"/>
  <c r="C81" i="66"/>
  <c r="C106" i="66"/>
  <c r="C124" i="66"/>
  <c r="D27" i="66"/>
  <c r="C89" i="66"/>
  <c r="C102" i="66"/>
  <c r="C51" i="66"/>
  <c r="D73" i="66"/>
  <c r="C96" i="66"/>
  <c r="C97" i="66"/>
  <c r="C131" i="66"/>
  <c r="C135" i="66"/>
  <c r="D66" i="65"/>
  <c r="C161" i="65"/>
  <c r="D161" i="65" s="1"/>
  <c r="C160" i="65"/>
  <c r="D42" i="65"/>
  <c r="D45" i="65" s="1"/>
  <c r="D28" i="65"/>
  <c r="D34" i="65" s="1"/>
  <c r="D68" i="65"/>
  <c r="D35" i="65"/>
  <c r="C119" i="65"/>
  <c r="D36" i="65"/>
  <c r="C81" i="65"/>
  <c r="C106" i="65"/>
  <c r="C124" i="65"/>
  <c r="D73" i="65"/>
  <c r="C120" i="65"/>
  <c r="D37" i="65"/>
  <c r="C51" i="65"/>
  <c r="C89" i="65"/>
  <c r="D31" i="65"/>
  <c r="C96" i="65"/>
  <c r="D32" i="65"/>
  <c r="C97" i="65"/>
  <c r="C131" i="65"/>
  <c r="C135" i="65"/>
  <c r="D42" i="64"/>
  <c r="D45" i="64" s="1"/>
  <c r="D68" i="64"/>
  <c r="D66" i="64" s="1"/>
  <c r="D28" i="64"/>
  <c r="D35" i="64" s="1"/>
  <c r="C161" i="64"/>
  <c r="D161" i="64" s="1"/>
  <c r="C160" i="64"/>
  <c r="C119" i="64"/>
  <c r="C81" i="64"/>
  <c r="C106" i="64"/>
  <c r="C124" i="64"/>
  <c r="D73" i="64"/>
  <c r="C120" i="64"/>
  <c r="C51" i="64"/>
  <c r="C96" i="64"/>
  <c r="C97" i="64"/>
  <c r="C131" i="64"/>
  <c r="C135" i="64"/>
  <c r="C98" i="64"/>
  <c r="C161" i="63"/>
  <c r="C160" i="63"/>
  <c r="C119" i="63"/>
  <c r="C106" i="63"/>
  <c r="C124" i="63"/>
  <c r="C164" i="63"/>
  <c r="C97" i="63"/>
  <c r="D69" i="63"/>
  <c r="C131" i="63"/>
  <c r="C135" i="63"/>
  <c r="C157" i="63"/>
  <c r="C98" i="63"/>
  <c r="C96" i="63" s="1"/>
  <c r="D27" i="63"/>
  <c r="D42" i="63" s="1"/>
  <c r="D45" i="63" s="1"/>
  <c r="C161" i="62"/>
  <c r="D161" i="62" s="1"/>
  <c r="C160" i="62"/>
  <c r="C119" i="62"/>
  <c r="C81" i="62"/>
  <c r="C106" i="62"/>
  <c r="C124" i="62"/>
  <c r="C164" i="62"/>
  <c r="C96" i="62"/>
  <c r="C102" i="62"/>
  <c r="C89" i="62"/>
  <c r="D27" i="62"/>
  <c r="C51" i="62"/>
  <c r="C97" i="62"/>
  <c r="C131" i="62"/>
  <c r="C135" i="62"/>
  <c r="L134" i="60"/>
  <c r="J132" i="60"/>
  <c r="J134" i="60" s="1"/>
  <c r="H132" i="60"/>
  <c r="H134" i="60" s="1"/>
  <c r="G132" i="60"/>
  <c r="I132" i="60"/>
  <c r="I134" i="60" s="1"/>
  <c r="G143" i="60"/>
  <c r="E139" i="59"/>
  <c r="G139" i="59" s="1"/>
  <c r="E137" i="59"/>
  <c r="G137" i="59" s="1"/>
  <c r="E136" i="59"/>
  <c r="G136" i="59" s="1"/>
  <c r="E134" i="59"/>
  <c r="G134" i="59" s="1"/>
  <c r="C139" i="59"/>
  <c r="C137" i="59"/>
  <c r="C136" i="59"/>
  <c r="C134" i="59"/>
  <c r="E115" i="59"/>
  <c r="H112" i="59"/>
  <c r="F112" i="59"/>
  <c r="G110" i="59"/>
  <c r="H110" i="59"/>
  <c r="I110" i="59"/>
  <c r="J110" i="59"/>
  <c r="K110" i="59"/>
  <c r="G108" i="59"/>
  <c r="H108" i="59"/>
  <c r="I108" i="59"/>
  <c r="J108" i="59"/>
  <c r="K108" i="59"/>
  <c r="F110" i="59"/>
  <c r="F108" i="59"/>
  <c r="G106" i="59"/>
  <c r="H106" i="59"/>
  <c r="I106" i="59"/>
  <c r="J106" i="59"/>
  <c r="K106" i="59"/>
  <c r="F106" i="59"/>
  <c r="J102" i="59"/>
  <c r="G104" i="59"/>
  <c r="H104" i="59"/>
  <c r="I104" i="59"/>
  <c r="J104" i="59"/>
  <c r="K104" i="59"/>
  <c r="F104" i="59"/>
  <c r="G102" i="59"/>
  <c r="H102" i="59"/>
  <c r="I102" i="59"/>
  <c r="K102" i="59"/>
  <c r="F102" i="59"/>
  <c r="G98" i="59"/>
  <c r="F98" i="59"/>
  <c r="G100" i="59"/>
  <c r="H100" i="59"/>
  <c r="I100" i="59"/>
  <c r="J100" i="59"/>
  <c r="K100" i="59"/>
  <c r="F100" i="59"/>
  <c r="F65" i="59"/>
  <c r="G131" i="59"/>
  <c r="G132" i="59"/>
  <c r="G133" i="59"/>
  <c r="G135" i="59"/>
  <c r="G138" i="59"/>
  <c r="G140" i="59"/>
  <c r="G141" i="59"/>
  <c r="G130" i="59"/>
  <c r="D33" i="65" l="1"/>
  <c r="D115" i="72"/>
  <c r="D116" i="72" s="1"/>
  <c r="C116" i="72"/>
  <c r="C133" i="72"/>
  <c r="D133" i="72" s="1"/>
  <c r="D135" i="72" s="1"/>
  <c r="C143" i="72"/>
  <c r="D104" i="72"/>
  <c r="D106" i="72" s="1"/>
  <c r="D141" i="72"/>
  <c r="D159" i="72" s="1"/>
  <c r="D94" i="72"/>
  <c r="D93" i="72" s="1"/>
  <c r="D157" i="72"/>
  <c r="D88" i="72"/>
  <c r="D80" i="72"/>
  <c r="D55" i="72"/>
  <c r="D57" i="72"/>
  <c r="D61" i="72"/>
  <c r="D62" i="72"/>
  <c r="D56" i="72"/>
  <c r="D59" i="72"/>
  <c r="D60" i="72"/>
  <c r="D58" i="72"/>
  <c r="D160" i="67"/>
  <c r="D161" i="67"/>
  <c r="D161" i="70"/>
  <c r="D180" i="67"/>
  <c r="D180" i="68"/>
  <c r="D180" i="57"/>
  <c r="D180" i="56"/>
  <c r="D180" i="66"/>
  <c r="D180" i="65"/>
  <c r="D180" i="64"/>
  <c r="D180" i="63"/>
  <c r="D180" i="50"/>
  <c r="D180" i="62"/>
  <c r="D180" i="45"/>
  <c r="D180" i="58"/>
  <c r="D180" i="70"/>
  <c r="D180" i="69"/>
  <c r="C132" i="70"/>
  <c r="D98" i="70"/>
  <c r="D203" i="70"/>
  <c r="D97" i="70"/>
  <c r="D140" i="70"/>
  <c r="D103" i="70"/>
  <c r="D75" i="70"/>
  <c r="D96" i="70"/>
  <c r="D50" i="70"/>
  <c r="D89" i="70"/>
  <c r="C45" i="70"/>
  <c r="C114" i="70"/>
  <c r="D77" i="70"/>
  <c r="C138" i="70"/>
  <c r="D137" i="70"/>
  <c r="D132" i="70"/>
  <c r="C52" i="70"/>
  <c r="C80" i="70" s="1"/>
  <c r="D51" i="70"/>
  <c r="C134" i="70" s="1"/>
  <c r="D134" i="70" s="1"/>
  <c r="D160" i="70"/>
  <c r="D28" i="69"/>
  <c r="D68" i="69"/>
  <c r="D66" i="69" s="1"/>
  <c r="C52" i="69"/>
  <c r="C80" i="69" s="1"/>
  <c r="D161" i="69"/>
  <c r="D42" i="68"/>
  <c r="D45" i="68" s="1"/>
  <c r="D68" i="68"/>
  <c r="D66" i="68" s="1"/>
  <c r="D160" i="68" s="1"/>
  <c r="D28" i="68"/>
  <c r="D35" i="68" s="1"/>
  <c r="D32" i="68"/>
  <c r="D37" i="68"/>
  <c r="D31" i="68"/>
  <c r="D30" i="68" s="1"/>
  <c r="D34" i="68"/>
  <c r="C52" i="68"/>
  <c r="C80" i="68" s="1"/>
  <c r="D32" i="67"/>
  <c r="D35" i="67"/>
  <c r="D31" i="67"/>
  <c r="D36" i="67"/>
  <c r="D34" i="67"/>
  <c r="C52" i="67"/>
  <c r="C80" i="67" s="1"/>
  <c r="D42" i="66"/>
  <c r="D45" i="66" s="1"/>
  <c r="C52" i="66"/>
  <c r="C80" i="66" s="1"/>
  <c r="D68" i="66"/>
  <c r="D66" i="66" s="1"/>
  <c r="D28" i="66"/>
  <c r="D36" i="66"/>
  <c r="D31" i="66"/>
  <c r="C52" i="65"/>
  <c r="C80" i="65" s="1"/>
  <c r="D30" i="65"/>
  <c r="D39" i="65" s="1"/>
  <c r="D160" i="65"/>
  <c r="D34" i="64"/>
  <c r="D37" i="64"/>
  <c r="D36" i="64"/>
  <c r="D31" i="64"/>
  <c r="D160" i="64"/>
  <c r="C52" i="64"/>
  <c r="C80" i="64" s="1"/>
  <c r="D32" i="64"/>
  <c r="D161" i="63"/>
  <c r="D68" i="63"/>
  <c r="D66" i="63" s="1"/>
  <c r="D160" i="63" s="1"/>
  <c r="D28" i="63"/>
  <c r="C52" i="62"/>
  <c r="C80" i="62" s="1"/>
  <c r="D68" i="62"/>
  <c r="D66" i="62" s="1"/>
  <c r="D160" i="62" s="1"/>
  <c r="D42" i="62"/>
  <c r="D45" i="62" s="1"/>
  <c r="D28" i="62"/>
  <c r="D32" i="62" s="1"/>
  <c r="D34" i="62"/>
  <c r="G142" i="59"/>
  <c r="H5" i="61"/>
  <c r="E17" i="61" s="1"/>
  <c r="E31" i="59"/>
  <c r="F20" i="59" s="1"/>
  <c r="F30" i="59"/>
  <c r="G28" i="59"/>
  <c r="H28" i="59"/>
  <c r="I28" i="59"/>
  <c r="J28" i="59"/>
  <c r="K28" i="59"/>
  <c r="F28" i="59"/>
  <c r="F25" i="59"/>
  <c r="K18" i="59"/>
  <c r="J18" i="59"/>
  <c r="I18" i="59"/>
  <c r="H18" i="59"/>
  <c r="G18" i="59"/>
  <c r="F18" i="59"/>
  <c r="D36" i="68" l="1"/>
  <c r="D33" i="68" s="1"/>
  <c r="D39" i="68" s="1"/>
  <c r="D102" i="72"/>
  <c r="D111" i="72" s="1"/>
  <c r="D120" i="72" s="1"/>
  <c r="D121" i="72" s="1"/>
  <c r="D122" i="72" s="1"/>
  <c r="D124" i="72" s="1"/>
  <c r="D125" i="72"/>
  <c r="D123" i="72"/>
  <c r="D99" i="72"/>
  <c r="D119" i="72" s="1"/>
  <c r="D142" i="72"/>
  <c r="D164" i="72" s="1"/>
  <c r="D63" i="72"/>
  <c r="D81" i="72" s="1"/>
  <c r="D83" i="72" s="1"/>
  <c r="D163" i="72"/>
  <c r="D90" i="70"/>
  <c r="D91" i="70"/>
  <c r="D158" i="70"/>
  <c r="D141" i="70"/>
  <c r="D159" i="70" s="1"/>
  <c r="D157" i="70"/>
  <c r="D52" i="70"/>
  <c r="C133" i="70"/>
  <c r="D133" i="70" s="1"/>
  <c r="D135" i="70" s="1"/>
  <c r="D82" i="70"/>
  <c r="D107" i="70"/>
  <c r="C82" i="70"/>
  <c r="D143" i="70"/>
  <c r="C143" i="70" s="1"/>
  <c r="D95" i="70"/>
  <c r="C115" i="70"/>
  <c r="D115" i="70" s="1"/>
  <c r="D114" i="70"/>
  <c r="D116" i="70" s="1"/>
  <c r="D125" i="70" s="1"/>
  <c r="D105" i="70"/>
  <c r="D104" i="70"/>
  <c r="D106" i="70" s="1"/>
  <c r="D35" i="69"/>
  <c r="D36" i="69"/>
  <c r="D32" i="69"/>
  <c r="D37" i="69"/>
  <c r="D34" i="69"/>
  <c r="D31" i="69"/>
  <c r="D30" i="69" s="1"/>
  <c r="D160" i="69"/>
  <c r="D33" i="67"/>
  <c r="D30" i="67"/>
  <c r="D39" i="67" s="1"/>
  <c r="D35" i="66"/>
  <c r="D37" i="66"/>
  <c r="D32" i="66"/>
  <c r="D30" i="66" s="1"/>
  <c r="D160" i="66"/>
  <c r="D34" i="66"/>
  <c r="C132" i="65"/>
  <c r="D203" i="65"/>
  <c r="D97" i="65"/>
  <c r="D140" i="65"/>
  <c r="D103" i="65"/>
  <c r="D77" i="65"/>
  <c r="D96" i="65"/>
  <c r="D50" i="65"/>
  <c r="D98" i="65"/>
  <c r="D89" i="65"/>
  <c r="C114" i="65"/>
  <c r="C45" i="65"/>
  <c r="D137" i="65"/>
  <c r="C138" i="65" s="1"/>
  <c r="D51" i="65"/>
  <c r="C134" i="65" s="1"/>
  <c r="D134" i="65" s="1"/>
  <c r="D132" i="65"/>
  <c r="D33" i="64"/>
  <c r="D30" i="64"/>
  <c r="D39" i="64" s="1"/>
  <c r="D32" i="63"/>
  <c r="D35" i="63"/>
  <c r="D36" i="63"/>
  <c r="D37" i="63"/>
  <c r="D34" i="63"/>
  <c r="D31" i="63"/>
  <c r="D30" i="63" s="1"/>
  <c r="D31" i="62"/>
  <c r="D30" i="62" s="1"/>
  <c r="D36" i="62"/>
  <c r="D37" i="62"/>
  <c r="D35" i="62"/>
  <c r="D33" i="62" s="1"/>
  <c r="C13" i="61"/>
  <c r="D13" i="61"/>
  <c r="E33" i="59"/>
  <c r="J20" i="59"/>
  <c r="K20" i="59"/>
  <c r="H20" i="59"/>
  <c r="I20" i="59"/>
  <c r="G20" i="59"/>
  <c r="K65" i="59"/>
  <c r="J65" i="59"/>
  <c r="I65" i="59"/>
  <c r="K93" i="59"/>
  <c r="J93" i="59"/>
  <c r="I93" i="59"/>
  <c r="H93" i="59"/>
  <c r="G93" i="59"/>
  <c r="F93" i="59"/>
  <c r="F67" i="59"/>
  <c r="F7" i="59"/>
  <c r="C132" i="68" l="1"/>
  <c r="D96" i="68"/>
  <c r="D51" i="68"/>
  <c r="C134" i="68" s="1"/>
  <c r="D134" i="68" s="1"/>
  <c r="D50" i="68"/>
  <c r="D98" i="68"/>
  <c r="D89" i="68"/>
  <c r="D90" i="68" s="1"/>
  <c r="D132" i="68"/>
  <c r="D97" i="68"/>
  <c r="C114" i="68"/>
  <c r="C115" i="68" s="1"/>
  <c r="D115" i="68" s="1"/>
  <c r="D203" i="68"/>
  <c r="D137" i="68"/>
  <c r="C138" i="68" s="1"/>
  <c r="D140" i="68"/>
  <c r="D103" i="68"/>
  <c r="D105" i="68" s="1"/>
  <c r="D77" i="68"/>
  <c r="D107" i="68" s="1"/>
  <c r="C45" i="68"/>
  <c r="D165" i="72"/>
  <c r="C165" i="72" s="1"/>
  <c r="D203" i="72"/>
  <c r="D144" i="72"/>
  <c r="D126" i="72"/>
  <c r="D204" i="72" s="1"/>
  <c r="C136" i="72"/>
  <c r="D136" i="72" s="1"/>
  <c r="D131" i="72" s="1"/>
  <c r="D138" i="72" s="1"/>
  <c r="D170" i="72" s="1"/>
  <c r="C116" i="70"/>
  <c r="D142" i="70"/>
  <c r="D164" i="70" s="1"/>
  <c r="D110" i="70"/>
  <c r="D109" i="70" s="1"/>
  <c r="D108" i="70" s="1"/>
  <c r="D94" i="70"/>
  <c r="D93" i="70" s="1"/>
  <c r="D92" i="70"/>
  <c r="D88" i="70" s="1"/>
  <c r="D99" i="70" s="1"/>
  <c r="D119" i="70" s="1"/>
  <c r="D102" i="70"/>
  <c r="D80" i="70"/>
  <c r="D58" i="70"/>
  <c r="D55" i="70"/>
  <c r="D60" i="70"/>
  <c r="D56" i="70"/>
  <c r="D62" i="70"/>
  <c r="D59" i="70"/>
  <c r="D61" i="70"/>
  <c r="D57" i="70"/>
  <c r="D123" i="70"/>
  <c r="D33" i="69"/>
  <c r="D39" i="69" s="1"/>
  <c r="D104" i="68"/>
  <c r="D158" i="68"/>
  <c r="D141" i="68"/>
  <c r="D159" i="68" s="1"/>
  <c r="D157" i="68"/>
  <c r="D52" i="68"/>
  <c r="C133" i="68"/>
  <c r="D133" i="68" s="1"/>
  <c r="C132" i="67"/>
  <c r="D98" i="67"/>
  <c r="D97" i="67"/>
  <c r="D203" i="67"/>
  <c r="D140" i="67"/>
  <c r="D103" i="67"/>
  <c r="D77" i="67"/>
  <c r="D96" i="67"/>
  <c r="D89" i="67"/>
  <c r="C45" i="67"/>
  <c r="C114" i="67"/>
  <c r="D50" i="67"/>
  <c r="D132" i="67"/>
  <c r="D137" i="67"/>
  <c r="C138" i="67" s="1"/>
  <c r="D51" i="67"/>
  <c r="C134" i="67" s="1"/>
  <c r="D134" i="67" s="1"/>
  <c r="D33" i="66"/>
  <c r="D39" i="66" s="1"/>
  <c r="D82" i="65"/>
  <c r="D143" i="65"/>
  <c r="C143" i="65" s="1"/>
  <c r="D107" i="65"/>
  <c r="C82" i="65"/>
  <c r="D105" i="65"/>
  <c r="D104" i="65"/>
  <c r="D106" i="65" s="1"/>
  <c r="D90" i="65"/>
  <c r="D92" i="65" s="1"/>
  <c r="D91" i="65"/>
  <c r="D52" i="65"/>
  <c r="C133" i="65"/>
  <c r="D133" i="65" s="1"/>
  <c r="D135" i="65" s="1"/>
  <c r="D158" i="65"/>
  <c r="D141" i="65"/>
  <c r="D159" i="65" s="1"/>
  <c r="D142" i="65"/>
  <c r="D164" i="65" s="1"/>
  <c r="D157" i="65"/>
  <c r="C115" i="65"/>
  <c r="D115" i="65" s="1"/>
  <c r="D114" i="65"/>
  <c r="D116" i="65" s="1"/>
  <c r="D125" i="65" s="1"/>
  <c r="D95" i="65"/>
  <c r="D98" i="64"/>
  <c r="D203" i="64"/>
  <c r="D97" i="64"/>
  <c r="D140" i="64"/>
  <c r="D103" i="64"/>
  <c r="D77" i="64"/>
  <c r="C134" i="64"/>
  <c r="D134" i="64" s="1"/>
  <c r="D96" i="64"/>
  <c r="D50" i="64"/>
  <c r="D89" i="64"/>
  <c r="C132" i="64"/>
  <c r="C114" i="64"/>
  <c r="C45" i="64"/>
  <c r="D51" i="64"/>
  <c r="D137" i="64"/>
  <c r="C138" i="64" s="1"/>
  <c r="D132" i="64"/>
  <c r="D33" i="63"/>
  <c r="D39" i="63" s="1"/>
  <c r="D39" i="62"/>
  <c r="F22" i="59"/>
  <c r="I22" i="59"/>
  <c r="H22" i="59"/>
  <c r="G22" i="59"/>
  <c r="E35" i="59"/>
  <c r="K22" i="59"/>
  <c r="J22" i="59"/>
  <c r="D106" i="68" l="1"/>
  <c r="D114" i="68"/>
  <c r="D91" i="68"/>
  <c r="D143" i="68"/>
  <c r="C143" i="68" s="1"/>
  <c r="C82" i="68"/>
  <c r="D95" i="68"/>
  <c r="D82" i="68"/>
  <c r="D142" i="68"/>
  <c r="D164" i="68" s="1"/>
  <c r="D88" i="65"/>
  <c r="C116" i="65"/>
  <c r="C144" i="72"/>
  <c r="D145" i="72"/>
  <c r="D102" i="65"/>
  <c r="D102" i="68"/>
  <c r="D111" i="70"/>
  <c r="D120" i="70" s="1"/>
  <c r="D121" i="70" s="1"/>
  <c r="D122" i="70" s="1"/>
  <c r="D124" i="70" s="1"/>
  <c r="D63" i="70"/>
  <c r="D81" i="70" s="1"/>
  <c r="D83" i="70" s="1"/>
  <c r="D163" i="70"/>
  <c r="D165" i="70" s="1"/>
  <c r="C165" i="70" s="1"/>
  <c r="C132" i="69"/>
  <c r="D98" i="69"/>
  <c r="C114" i="69"/>
  <c r="D203" i="69"/>
  <c r="D97" i="69"/>
  <c r="D50" i="69"/>
  <c r="D140" i="69"/>
  <c r="D103" i="69"/>
  <c r="D77" i="69"/>
  <c r="D96" i="69"/>
  <c r="D89" i="69"/>
  <c r="D137" i="69"/>
  <c r="C138" i="69" s="1"/>
  <c r="D132" i="69"/>
  <c r="C45" i="69"/>
  <c r="D51" i="69"/>
  <c r="C134" i="69" s="1"/>
  <c r="D134" i="69" s="1"/>
  <c r="D80" i="68"/>
  <c r="D55" i="68"/>
  <c r="D56" i="68"/>
  <c r="D62" i="68"/>
  <c r="D59" i="68"/>
  <c r="D58" i="68"/>
  <c r="D61" i="68"/>
  <c r="D57" i="68"/>
  <c r="D60" i="68"/>
  <c r="D135" i="68"/>
  <c r="D116" i="68"/>
  <c r="C116" i="68"/>
  <c r="D92" i="68"/>
  <c r="D82" i="67"/>
  <c r="D107" i="67"/>
  <c r="C82" i="67"/>
  <c r="D143" i="67"/>
  <c r="C143" i="67" s="1"/>
  <c r="D105" i="67"/>
  <c r="D104" i="67"/>
  <c r="D106" i="67" s="1"/>
  <c r="D158" i="67"/>
  <c r="D141" i="67"/>
  <c r="D159" i="67" s="1"/>
  <c r="D157" i="67"/>
  <c r="D90" i="67"/>
  <c r="D92" i="67" s="1"/>
  <c r="D91" i="67"/>
  <c r="D52" i="67"/>
  <c r="C133" i="67"/>
  <c r="D133" i="67" s="1"/>
  <c r="D135" i="67" s="1"/>
  <c r="D95" i="67"/>
  <c r="C115" i="67"/>
  <c r="D115" i="67" s="1"/>
  <c r="D114" i="67"/>
  <c r="D116" i="67" s="1"/>
  <c r="D125" i="67" s="1"/>
  <c r="C132" i="66"/>
  <c r="D203" i="66"/>
  <c r="D97" i="66"/>
  <c r="D140" i="66"/>
  <c r="D103" i="66"/>
  <c r="D77" i="66"/>
  <c r="D50" i="66"/>
  <c r="D98" i="66"/>
  <c r="D96" i="66"/>
  <c r="D89" i="66"/>
  <c r="C114" i="66"/>
  <c r="D137" i="66"/>
  <c r="C138" i="66" s="1"/>
  <c r="D132" i="66"/>
  <c r="D51" i="66"/>
  <c r="C134" i="66" s="1"/>
  <c r="D134" i="66" s="1"/>
  <c r="C45" i="66"/>
  <c r="D123" i="65"/>
  <c r="D110" i="65"/>
  <c r="D109" i="65" s="1"/>
  <c r="D108" i="65" s="1"/>
  <c r="D94" i="65"/>
  <c r="D93" i="65" s="1"/>
  <c r="D80" i="65"/>
  <c r="D56" i="65"/>
  <c r="D59" i="65"/>
  <c r="D61" i="65"/>
  <c r="D58" i="65"/>
  <c r="D55" i="65"/>
  <c r="D60" i="65"/>
  <c r="D57" i="65"/>
  <c r="D62" i="65"/>
  <c r="D91" i="64"/>
  <c r="D90" i="64"/>
  <c r="D92" i="64" s="1"/>
  <c r="D82" i="64"/>
  <c r="D143" i="64"/>
  <c r="C143" i="64" s="1"/>
  <c r="D107" i="64"/>
  <c r="C82" i="64"/>
  <c r="D104" i="64"/>
  <c r="D105" i="64"/>
  <c r="D52" i="64"/>
  <c r="C133" i="64"/>
  <c r="D133" i="64" s="1"/>
  <c r="D135" i="64" s="1"/>
  <c r="D158" i="64"/>
  <c r="D141" i="64"/>
  <c r="D159" i="64" s="1"/>
  <c r="D142" i="64"/>
  <c r="D164" i="64" s="1"/>
  <c r="D157" i="64"/>
  <c r="C115" i="64"/>
  <c r="D115" i="64" s="1"/>
  <c r="D114" i="64"/>
  <c r="D95" i="64"/>
  <c r="C132" i="63"/>
  <c r="D98" i="63"/>
  <c r="C114" i="63"/>
  <c r="D203" i="63"/>
  <c r="D97" i="63"/>
  <c r="D96" i="63"/>
  <c r="D50" i="63"/>
  <c r="D140" i="63"/>
  <c r="D103" i="63"/>
  <c r="D77" i="63"/>
  <c r="D89" i="63"/>
  <c r="D51" i="63"/>
  <c r="C134" i="63" s="1"/>
  <c r="D134" i="63" s="1"/>
  <c r="D137" i="63"/>
  <c r="C138" i="63" s="1"/>
  <c r="D132" i="63"/>
  <c r="C45" i="63"/>
  <c r="C132" i="62"/>
  <c r="D203" i="62"/>
  <c r="D140" i="62"/>
  <c r="D103" i="62"/>
  <c r="D77" i="62"/>
  <c r="D50" i="62"/>
  <c r="D89" i="62"/>
  <c r="D97" i="62"/>
  <c r="D96" i="62"/>
  <c r="D98" i="62"/>
  <c r="C114" i="62"/>
  <c r="D137" i="62"/>
  <c r="C138" i="62" s="1"/>
  <c r="D51" i="62"/>
  <c r="C134" i="62" s="1"/>
  <c r="D134" i="62" s="1"/>
  <c r="D132" i="62"/>
  <c r="C45" i="62"/>
  <c r="E37" i="59"/>
  <c r="I24" i="59"/>
  <c r="H24" i="59"/>
  <c r="J24" i="59"/>
  <c r="G24" i="59"/>
  <c r="K24" i="59"/>
  <c r="F24" i="59"/>
  <c r="B214" i="40"/>
  <c r="D88" i="68" l="1"/>
  <c r="D99" i="68" s="1"/>
  <c r="D119" i="68" s="1"/>
  <c r="D110" i="68"/>
  <c r="D109" i="68" s="1"/>
  <c r="D108" i="68" s="1"/>
  <c r="D111" i="68" s="1"/>
  <c r="D120" i="68" s="1"/>
  <c r="D94" i="68"/>
  <c r="D93" i="68" s="1"/>
  <c r="D99" i="65"/>
  <c r="D119" i="65" s="1"/>
  <c r="C116" i="64"/>
  <c r="D88" i="64"/>
  <c r="C145" i="72"/>
  <c r="D151" i="72"/>
  <c r="D148" i="72"/>
  <c r="D150" i="72"/>
  <c r="D152" i="72"/>
  <c r="D149" i="72"/>
  <c r="D153" i="72"/>
  <c r="D111" i="65"/>
  <c r="D120" i="65" s="1"/>
  <c r="D102" i="67"/>
  <c r="D88" i="67"/>
  <c r="D99" i="67" s="1"/>
  <c r="D119" i="67" s="1"/>
  <c r="D116" i="64"/>
  <c r="D125" i="64" s="1"/>
  <c r="D95" i="63"/>
  <c r="D94" i="63" s="1"/>
  <c r="D93" i="63" s="1"/>
  <c r="D95" i="62"/>
  <c r="D110" i="62" s="1"/>
  <c r="D109" i="62" s="1"/>
  <c r="D108" i="62" s="1"/>
  <c r="C136" i="70"/>
  <c r="D136" i="70" s="1"/>
  <c r="D131" i="70" s="1"/>
  <c r="D138" i="70" s="1"/>
  <c r="D170" i="70" s="1"/>
  <c r="D144" i="70"/>
  <c r="D126" i="70"/>
  <c r="D205" i="70" s="1"/>
  <c r="D204" i="70"/>
  <c r="D95" i="69"/>
  <c r="D82" i="69"/>
  <c r="D107" i="69"/>
  <c r="C82" i="69"/>
  <c r="D143" i="69"/>
  <c r="C143" i="69" s="1"/>
  <c r="C115" i="69"/>
  <c r="D115" i="69" s="1"/>
  <c r="D114" i="69"/>
  <c r="D52" i="69"/>
  <c r="C133" i="69"/>
  <c r="D133" i="69" s="1"/>
  <c r="D135" i="69" s="1"/>
  <c r="D90" i="69"/>
  <c r="D92" i="69" s="1"/>
  <c r="D91" i="69"/>
  <c r="D104" i="69"/>
  <c r="D105" i="69"/>
  <c r="D158" i="69"/>
  <c r="D141" i="69"/>
  <c r="D159" i="69" s="1"/>
  <c r="D142" i="69"/>
  <c r="D164" i="69" s="1"/>
  <c r="D157" i="69"/>
  <c r="D125" i="68"/>
  <c r="D123" i="68"/>
  <c r="D63" i="68"/>
  <c r="D81" i="68" s="1"/>
  <c r="D83" i="68" s="1"/>
  <c r="D163" i="68"/>
  <c r="D165" i="68" s="1"/>
  <c r="C165" i="68" s="1"/>
  <c r="C116" i="67"/>
  <c r="D110" i="67"/>
  <c r="D109" i="67" s="1"/>
  <c r="D108" i="67" s="1"/>
  <c r="D94" i="67"/>
  <c r="D93" i="67" s="1"/>
  <c r="D123" i="67"/>
  <c r="D80" i="67"/>
  <c r="D55" i="67"/>
  <c r="D60" i="67"/>
  <c r="D62" i="67"/>
  <c r="D61" i="67"/>
  <c r="D59" i="67"/>
  <c r="D56" i="67"/>
  <c r="D58" i="67"/>
  <c r="D57" i="67"/>
  <c r="D142" i="67"/>
  <c r="D164" i="67" s="1"/>
  <c r="D90" i="66"/>
  <c r="D92" i="66" s="1"/>
  <c r="D91" i="66"/>
  <c r="D82" i="66"/>
  <c r="D143" i="66"/>
  <c r="C143" i="66" s="1"/>
  <c r="D107" i="66"/>
  <c r="C82" i="66"/>
  <c r="D104" i="66"/>
  <c r="D105" i="66"/>
  <c r="D95" i="66"/>
  <c r="D158" i="66"/>
  <c r="D141" i="66"/>
  <c r="D159" i="66" s="1"/>
  <c r="D157" i="66"/>
  <c r="C115" i="66"/>
  <c r="D115" i="66" s="1"/>
  <c r="D114" i="66"/>
  <c r="D52" i="66"/>
  <c r="C133" i="66"/>
  <c r="D133" i="66" s="1"/>
  <c r="D135" i="66" s="1"/>
  <c r="D63" i="65"/>
  <c r="D81" i="65" s="1"/>
  <c r="D83" i="65" s="1"/>
  <c r="D163" i="65"/>
  <c r="D165" i="65" s="1"/>
  <c r="C165" i="65" s="1"/>
  <c r="D110" i="64"/>
  <c r="D109" i="64" s="1"/>
  <c r="D108" i="64" s="1"/>
  <c r="D94" i="64"/>
  <c r="D93" i="64" s="1"/>
  <c r="D80" i="64"/>
  <c r="D62" i="64"/>
  <c r="D59" i="64"/>
  <c r="D61" i="64"/>
  <c r="D58" i="64"/>
  <c r="D57" i="64"/>
  <c r="D60" i="64"/>
  <c r="D56" i="64"/>
  <c r="D55" i="64"/>
  <c r="D106" i="64"/>
  <c r="D102" i="64" s="1"/>
  <c r="D111" i="64" s="1"/>
  <c r="D120" i="64" s="1"/>
  <c r="D158" i="63"/>
  <c r="D141" i="63"/>
  <c r="D159" i="63" s="1"/>
  <c r="D157" i="63"/>
  <c r="D52" i="63"/>
  <c r="C133" i="63"/>
  <c r="D133" i="63" s="1"/>
  <c r="D104" i="63"/>
  <c r="D106" i="63" s="1"/>
  <c r="D105" i="63"/>
  <c r="D114" i="63"/>
  <c r="C115" i="63"/>
  <c r="D115" i="63" s="1"/>
  <c r="D90" i="63"/>
  <c r="D92" i="63" s="1"/>
  <c r="D91" i="63"/>
  <c r="D110" i="63"/>
  <c r="D109" i="63" s="1"/>
  <c r="D108" i="63" s="1"/>
  <c r="C82" i="63"/>
  <c r="D107" i="63"/>
  <c r="D82" i="63"/>
  <c r="D143" i="63"/>
  <c r="C143" i="63" s="1"/>
  <c r="D158" i="62"/>
  <c r="D157" i="62"/>
  <c r="D141" i="62"/>
  <c r="D159" i="62" s="1"/>
  <c r="C115" i="62"/>
  <c r="D115" i="62" s="1"/>
  <c r="D114" i="62"/>
  <c r="D104" i="62"/>
  <c r="D106" i="62" s="1"/>
  <c r="D105" i="62"/>
  <c r="D52" i="62"/>
  <c r="C133" i="62"/>
  <c r="D133" i="62" s="1"/>
  <c r="D82" i="62"/>
  <c r="D107" i="62"/>
  <c r="C82" i="62"/>
  <c r="D143" i="62"/>
  <c r="C143" i="62" s="1"/>
  <c r="D91" i="62"/>
  <c r="D90" i="62"/>
  <c r="D92" i="62" s="1"/>
  <c r="F38" i="59"/>
  <c r="E39" i="59"/>
  <c r="J26" i="59"/>
  <c r="K26" i="59"/>
  <c r="F26" i="59"/>
  <c r="H26" i="59"/>
  <c r="G26" i="59"/>
  <c r="I26" i="59"/>
  <c r="H27" i="41"/>
  <c r="H25" i="41"/>
  <c r="B179" i="42"/>
  <c r="F18" i="41"/>
  <c r="H18" i="41" s="1"/>
  <c r="H17" i="41"/>
  <c r="F17" i="41"/>
  <c r="F16" i="41"/>
  <c r="H16" i="41" s="1"/>
  <c r="F15" i="41"/>
  <c r="H15" i="41" s="1"/>
  <c r="F14" i="41"/>
  <c r="H14" i="41" s="1"/>
  <c r="F13" i="41"/>
  <c r="H13" i="41" s="1"/>
  <c r="D116" i="69" l="1"/>
  <c r="D125" i="69" s="1"/>
  <c r="D121" i="68"/>
  <c r="D122" i="68" s="1"/>
  <c r="D124" i="68" s="1"/>
  <c r="D144" i="68" s="1"/>
  <c r="D142" i="66"/>
  <c r="D164" i="66" s="1"/>
  <c r="D116" i="66"/>
  <c r="D125" i="66" s="1"/>
  <c r="D121" i="65"/>
  <c r="D122" i="65" s="1"/>
  <c r="D124" i="65" s="1"/>
  <c r="D144" i="65" s="1"/>
  <c r="D99" i="64"/>
  <c r="D119" i="64" s="1"/>
  <c r="D142" i="63"/>
  <c r="D164" i="63" s="1"/>
  <c r="D111" i="67"/>
  <c r="D120" i="67" s="1"/>
  <c r="D121" i="67" s="1"/>
  <c r="D122" i="67" s="1"/>
  <c r="D124" i="67" s="1"/>
  <c r="D154" i="72"/>
  <c r="D167" i="72" s="1"/>
  <c r="D102" i="63"/>
  <c r="D111" i="63" s="1"/>
  <c r="D120" i="63" s="1"/>
  <c r="D88" i="69"/>
  <c r="D88" i="66"/>
  <c r="D123" i="64"/>
  <c r="D88" i="63"/>
  <c r="D99" i="63" s="1"/>
  <c r="D119" i="63" s="1"/>
  <c r="D116" i="63"/>
  <c r="D125" i="63" s="1"/>
  <c r="C116" i="63"/>
  <c r="D94" i="62"/>
  <c r="D93" i="62" s="1"/>
  <c r="D102" i="62"/>
  <c r="D111" i="62" s="1"/>
  <c r="D120" i="62" s="1"/>
  <c r="D116" i="62"/>
  <c r="C144" i="70"/>
  <c r="D145" i="70"/>
  <c r="D110" i="69"/>
  <c r="D109" i="69" s="1"/>
  <c r="D108" i="69" s="1"/>
  <c r="D94" i="69"/>
  <c r="D93" i="69" s="1"/>
  <c r="C116" i="69"/>
  <c r="D106" i="69"/>
  <c r="D102" i="69" s="1"/>
  <c r="D123" i="69"/>
  <c r="D80" i="69"/>
  <c r="D55" i="69"/>
  <c r="D57" i="69"/>
  <c r="D62" i="69"/>
  <c r="D56" i="69"/>
  <c r="D60" i="69"/>
  <c r="D58" i="69"/>
  <c r="D61" i="69"/>
  <c r="D59" i="69"/>
  <c r="D204" i="68"/>
  <c r="D63" i="67"/>
  <c r="D81" i="67" s="1"/>
  <c r="D83" i="67" s="1"/>
  <c r="D163" i="67"/>
  <c r="D165" i="67" s="1"/>
  <c r="C165" i="67" s="1"/>
  <c r="D80" i="66"/>
  <c r="D62" i="66"/>
  <c r="D58" i="66"/>
  <c r="D56" i="66"/>
  <c r="D61" i="66"/>
  <c r="D59" i="66"/>
  <c r="D57" i="66"/>
  <c r="D55" i="66"/>
  <c r="D60" i="66"/>
  <c r="D110" i="66"/>
  <c r="D109" i="66" s="1"/>
  <c r="D108" i="66" s="1"/>
  <c r="D94" i="66"/>
  <c r="D93" i="66" s="1"/>
  <c r="D106" i="66"/>
  <c r="D102" i="66" s="1"/>
  <c r="C116" i="66"/>
  <c r="D204" i="65"/>
  <c r="D121" i="64"/>
  <c r="D122" i="64" s="1"/>
  <c r="D124" i="64" s="1"/>
  <c r="D63" i="64"/>
  <c r="D81" i="64" s="1"/>
  <c r="D83" i="64" s="1"/>
  <c r="D163" i="64"/>
  <c r="D165" i="64" s="1"/>
  <c r="C165" i="64" s="1"/>
  <c r="D135" i="63"/>
  <c r="D80" i="63"/>
  <c r="D60" i="63"/>
  <c r="D57" i="63"/>
  <c r="D55" i="63"/>
  <c r="D61" i="63"/>
  <c r="D62" i="63"/>
  <c r="D59" i="63"/>
  <c r="D56" i="63"/>
  <c r="D58" i="63"/>
  <c r="D135" i="62"/>
  <c r="D80" i="62"/>
  <c r="D58" i="62"/>
  <c r="D56" i="62"/>
  <c r="D62" i="62"/>
  <c r="D57" i="62"/>
  <c r="D61" i="62"/>
  <c r="D60" i="62"/>
  <c r="D59" i="62"/>
  <c r="D55" i="62"/>
  <c r="C116" i="62"/>
  <c r="D88" i="62"/>
  <c r="D142" i="62"/>
  <c r="D164" i="62" s="1"/>
  <c r="E3" i="61"/>
  <c r="D14" i="61" s="1"/>
  <c r="I3" i="61"/>
  <c r="G3" i="61"/>
  <c r="D16" i="61" s="1"/>
  <c r="F3" i="61"/>
  <c r="D15" i="61" s="1"/>
  <c r="H3" i="61"/>
  <c r="D17" i="61" s="1"/>
  <c r="H19" i="41"/>
  <c r="D177" i="43" s="1"/>
  <c r="D111" i="69" l="1"/>
  <c r="D120" i="69" s="1"/>
  <c r="D126" i="68"/>
  <c r="D205" i="68" s="1"/>
  <c r="C136" i="68"/>
  <c r="D136" i="68" s="1"/>
  <c r="D131" i="68" s="1"/>
  <c r="D138" i="68" s="1"/>
  <c r="D170" i="68" s="1"/>
  <c r="D123" i="66"/>
  <c r="D145" i="65"/>
  <c r="D150" i="65" s="1"/>
  <c r="C144" i="65"/>
  <c r="D126" i="65"/>
  <c r="D205" i="65" s="1"/>
  <c r="C136" i="65"/>
  <c r="D136" i="65" s="1"/>
  <c r="D131" i="65" s="1"/>
  <c r="D138" i="65" s="1"/>
  <c r="D170" i="65" s="1"/>
  <c r="D123" i="63"/>
  <c r="C167" i="72"/>
  <c r="D171" i="72"/>
  <c r="D172" i="72" s="1"/>
  <c r="D121" i="63"/>
  <c r="D122" i="63" s="1"/>
  <c r="D99" i="69"/>
  <c r="D119" i="69" s="1"/>
  <c r="D111" i="66"/>
  <c r="D120" i="66" s="1"/>
  <c r="D99" i="66"/>
  <c r="D119" i="66" s="1"/>
  <c r="D125" i="62"/>
  <c r="D123" i="62"/>
  <c r="D99" i="62"/>
  <c r="D119" i="62" s="1"/>
  <c r="D121" i="62" s="1"/>
  <c r="D122" i="62" s="1"/>
  <c r="C145" i="70"/>
  <c r="D153" i="70"/>
  <c r="D149" i="70"/>
  <c r="D152" i="70"/>
  <c r="D148" i="70"/>
  <c r="D151" i="70"/>
  <c r="D150" i="70"/>
  <c r="D63" i="69"/>
  <c r="D81" i="69" s="1"/>
  <c r="D83" i="69" s="1"/>
  <c r="D163" i="69"/>
  <c r="D165" i="69" s="1"/>
  <c r="C165" i="69" s="1"/>
  <c r="C144" i="68"/>
  <c r="D145" i="68"/>
  <c r="D204" i="67"/>
  <c r="C136" i="67"/>
  <c r="D136" i="67" s="1"/>
  <c r="D131" i="67" s="1"/>
  <c r="D138" i="67" s="1"/>
  <c r="D170" i="67" s="1"/>
  <c r="D144" i="67"/>
  <c r="D126" i="67"/>
  <c r="D205" i="67" s="1"/>
  <c r="D63" i="66"/>
  <c r="D81" i="66" s="1"/>
  <c r="D83" i="66" s="1"/>
  <c r="D163" i="66"/>
  <c r="D165" i="66" s="1"/>
  <c r="C165" i="66" s="1"/>
  <c r="D204" i="64"/>
  <c r="D144" i="64"/>
  <c r="D126" i="64"/>
  <c r="D205" i="64" s="1"/>
  <c r="C136" i="64"/>
  <c r="D136" i="64" s="1"/>
  <c r="D131" i="64" s="1"/>
  <c r="D138" i="64" s="1"/>
  <c r="D170" i="64" s="1"/>
  <c r="D63" i="63"/>
  <c r="D81" i="63" s="1"/>
  <c r="D83" i="63" s="1"/>
  <c r="D163" i="63"/>
  <c r="D165" i="63" s="1"/>
  <c r="C165" i="63" s="1"/>
  <c r="D63" i="62"/>
  <c r="D81" i="62" s="1"/>
  <c r="D83" i="62" s="1"/>
  <c r="D163" i="62"/>
  <c r="D165" i="62" s="1"/>
  <c r="C165" i="62" s="1"/>
  <c r="D3" i="61"/>
  <c r="D12" i="61" s="1"/>
  <c r="I96" i="59"/>
  <c r="G96" i="59"/>
  <c r="H96" i="59"/>
  <c r="J96" i="59"/>
  <c r="K96" i="59"/>
  <c r="F96" i="59"/>
  <c r="G122" i="59"/>
  <c r="H122" i="59"/>
  <c r="I122" i="59"/>
  <c r="J122" i="59"/>
  <c r="K122" i="59"/>
  <c r="F122" i="59"/>
  <c r="G76" i="59"/>
  <c r="H76" i="59"/>
  <c r="I76" i="59"/>
  <c r="J76" i="59"/>
  <c r="K76" i="59"/>
  <c r="F76" i="59"/>
  <c r="G116" i="59"/>
  <c r="H116" i="59"/>
  <c r="I116" i="59"/>
  <c r="J116" i="59"/>
  <c r="K116" i="59"/>
  <c r="F116" i="59"/>
  <c r="G118" i="59"/>
  <c r="F118" i="59"/>
  <c r="G112" i="59"/>
  <c r="I112" i="59"/>
  <c r="J112" i="59"/>
  <c r="K112" i="59"/>
  <c r="G94" i="59"/>
  <c r="H94" i="59"/>
  <c r="I94" i="59"/>
  <c r="J94" i="59"/>
  <c r="K94" i="59"/>
  <c r="F94" i="59"/>
  <c r="G92" i="59"/>
  <c r="H92" i="59"/>
  <c r="I92" i="59"/>
  <c r="J92" i="59"/>
  <c r="K92" i="59"/>
  <c r="F92" i="59"/>
  <c r="G88" i="59"/>
  <c r="H88" i="59"/>
  <c r="I88" i="59"/>
  <c r="J88" i="59"/>
  <c r="K88" i="59"/>
  <c r="F88" i="59"/>
  <c r="G90" i="59"/>
  <c r="F90" i="59"/>
  <c r="K89" i="59"/>
  <c r="K90" i="59" s="1"/>
  <c r="J89" i="59"/>
  <c r="J90" i="59" s="1"/>
  <c r="I89" i="59"/>
  <c r="I90" i="59" s="1"/>
  <c r="H89" i="59"/>
  <c r="H90" i="59" s="1"/>
  <c r="G86" i="59"/>
  <c r="H86" i="59"/>
  <c r="I86" i="59"/>
  <c r="J86" i="59"/>
  <c r="K86" i="59"/>
  <c r="F86" i="59"/>
  <c r="G84" i="59"/>
  <c r="H84" i="59"/>
  <c r="I84" i="59"/>
  <c r="J84" i="59"/>
  <c r="K84" i="59"/>
  <c r="F84" i="59"/>
  <c r="F82" i="59"/>
  <c r="H78" i="59"/>
  <c r="H80" i="59"/>
  <c r="F80" i="59"/>
  <c r="F78" i="59"/>
  <c r="G80" i="59"/>
  <c r="I80" i="59"/>
  <c r="J80" i="59"/>
  <c r="K80" i="59"/>
  <c r="H82" i="59"/>
  <c r="G82" i="59"/>
  <c r="I82" i="59"/>
  <c r="J82" i="59"/>
  <c r="K82" i="59"/>
  <c r="G78" i="59"/>
  <c r="I78" i="59"/>
  <c r="J78" i="59"/>
  <c r="K78" i="59"/>
  <c r="I74" i="59"/>
  <c r="H74" i="59"/>
  <c r="F74" i="59"/>
  <c r="G72" i="59"/>
  <c r="H72" i="59"/>
  <c r="I72" i="59"/>
  <c r="J72" i="59"/>
  <c r="K72" i="59"/>
  <c r="F72" i="59"/>
  <c r="G70" i="59"/>
  <c r="H70" i="59"/>
  <c r="I70" i="59"/>
  <c r="J70" i="59"/>
  <c r="K70" i="59"/>
  <c r="F70" i="59"/>
  <c r="G68" i="59"/>
  <c r="H68" i="59"/>
  <c r="I68" i="59"/>
  <c r="J68" i="59"/>
  <c r="K68" i="59"/>
  <c r="F68" i="59"/>
  <c r="G66" i="59"/>
  <c r="G64" i="59"/>
  <c r="G62" i="59"/>
  <c r="G60" i="59"/>
  <c r="G58" i="59"/>
  <c r="H58" i="59"/>
  <c r="I58" i="59"/>
  <c r="J58" i="59"/>
  <c r="K58" i="59"/>
  <c r="F64" i="59"/>
  <c r="F62" i="59"/>
  <c r="F60" i="59"/>
  <c r="F58" i="59"/>
  <c r="F52" i="59"/>
  <c r="F54" i="59"/>
  <c r="F56" i="59"/>
  <c r="F66" i="59"/>
  <c r="H66" i="59"/>
  <c r="I66" i="59"/>
  <c r="J66" i="59"/>
  <c r="K66" i="59"/>
  <c r="H62" i="59"/>
  <c r="I62" i="59"/>
  <c r="J62" i="59"/>
  <c r="K62" i="59"/>
  <c r="H64" i="59"/>
  <c r="I64" i="59"/>
  <c r="J64" i="59"/>
  <c r="K64" i="59"/>
  <c r="H60" i="59"/>
  <c r="I60" i="59"/>
  <c r="J60" i="59"/>
  <c r="K60" i="59"/>
  <c r="G54" i="59"/>
  <c r="H54" i="59"/>
  <c r="I54" i="59"/>
  <c r="J54" i="59"/>
  <c r="K54" i="59"/>
  <c r="F16" i="59"/>
  <c r="F12" i="59"/>
  <c r="F14" i="59"/>
  <c r="F40" i="59"/>
  <c r="F42" i="59"/>
  <c r="G44" i="59"/>
  <c r="H44" i="59"/>
  <c r="I44" i="59"/>
  <c r="J44" i="59"/>
  <c r="K44" i="59"/>
  <c r="F44" i="59"/>
  <c r="G34" i="59"/>
  <c r="H34" i="59"/>
  <c r="I34" i="59"/>
  <c r="J34" i="59"/>
  <c r="K34" i="59"/>
  <c r="F34" i="59"/>
  <c r="G32" i="59"/>
  <c r="C196" i="44"/>
  <c r="C195" i="44"/>
  <c r="C196" i="43"/>
  <c r="C195" i="43"/>
  <c r="C196" i="48"/>
  <c r="C195" i="48"/>
  <c r="C195" i="42"/>
  <c r="C194" i="42"/>
  <c r="C123" i="58"/>
  <c r="C122" i="58"/>
  <c r="C111" i="58"/>
  <c r="C99" i="58"/>
  <c r="C123" i="57"/>
  <c r="C122" i="57"/>
  <c r="C111" i="57"/>
  <c r="C99" i="57"/>
  <c r="C123" i="56"/>
  <c r="C122" i="56"/>
  <c r="C111" i="56"/>
  <c r="C99" i="56"/>
  <c r="C123" i="50"/>
  <c r="C122" i="50"/>
  <c r="C111" i="50"/>
  <c r="C99" i="50"/>
  <c r="C123" i="45"/>
  <c r="C122" i="45"/>
  <c r="C111" i="45"/>
  <c r="C99" i="45"/>
  <c r="C123" i="44"/>
  <c r="C122" i="44"/>
  <c r="C111" i="44"/>
  <c r="C99" i="44"/>
  <c r="C123" i="43"/>
  <c r="C122" i="43"/>
  <c r="C111" i="43"/>
  <c r="C99" i="43"/>
  <c r="C123" i="48"/>
  <c r="C122" i="48"/>
  <c r="C111" i="48"/>
  <c r="C99" i="48"/>
  <c r="C123" i="42"/>
  <c r="C122" i="42"/>
  <c r="C111" i="42"/>
  <c r="C99" i="42"/>
  <c r="G74" i="59"/>
  <c r="G114" i="59"/>
  <c r="G120" i="59"/>
  <c r="G56" i="59"/>
  <c r="G48" i="59"/>
  <c r="G50" i="59"/>
  <c r="G52" i="59"/>
  <c r="G46" i="59"/>
  <c r="G40" i="59"/>
  <c r="G42" i="59"/>
  <c r="G38" i="59"/>
  <c r="G36" i="59"/>
  <c r="G30" i="59"/>
  <c r="G16" i="59"/>
  <c r="G12" i="59"/>
  <c r="G10" i="59"/>
  <c r="G8" i="59"/>
  <c r="G6" i="59"/>
  <c r="F6" i="59"/>
  <c r="H8" i="59"/>
  <c r="I8" i="59"/>
  <c r="J8" i="59"/>
  <c r="K8" i="59"/>
  <c r="F8" i="59"/>
  <c r="K74" i="59"/>
  <c r="K114" i="59"/>
  <c r="K120" i="59"/>
  <c r="K118" i="59"/>
  <c r="K98" i="59"/>
  <c r="K56" i="59"/>
  <c r="K48" i="59"/>
  <c r="K50" i="59"/>
  <c r="K52" i="59"/>
  <c r="K46" i="59"/>
  <c r="K40" i="59"/>
  <c r="K42" i="59"/>
  <c r="K38" i="59"/>
  <c r="K36" i="59"/>
  <c r="K32" i="59"/>
  <c r="K30" i="59"/>
  <c r="K16" i="59"/>
  <c r="K12" i="59"/>
  <c r="K10" i="59"/>
  <c r="K6" i="59"/>
  <c r="D121" i="69" l="1"/>
  <c r="D122" i="69" s="1"/>
  <c r="D124" i="69" s="1"/>
  <c r="D144" i="69" s="1"/>
  <c r="C145" i="65"/>
  <c r="D149" i="65"/>
  <c r="D153" i="65"/>
  <c r="D152" i="65"/>
  <c r="D148" i="65"/>
  <c r="D151" i="65"/>
  <c r="D124" i="63"/>
  <c r="C136" i="63" s="1"/>
  <c r="D136" i="63" s="1"/>
  <c r="D131" i="63" s="1"/>
  <c r="D138" i="63" s="1"/>
  <c r="D170" i="63" s="1"/>
  <c r="D124" i="62"/>
  <c r="D205" i="72"/>
  <c r="D121" i="66"/>
  <c r="D122" i="66" s="1"/>
  <c r="D124" i="66" s="1"/>
  <c r="D154" i="70"/>
  <c r="D167" i="70" s="1"/>
  <c r="C167" i="70" s="1"/>
  <c r="D204" i="69"/>
  <c r="C145" i="68"/>
  <c r="D153" i="68"/>
  <c r="D149" i="68"/>
  <c r="D152" i="68"/>
  <c r="D148" i="68"/>
  <c r="D151" i="68"/>
  <c r="D150" i="68"/>
  <c r="C144" i="67"/>
  <c r="D145" i="67"/>
  <c r="D204" i="66"/>
  <c r="C144" i="64"/>
  <c r="D145" i="64"/>
  <c r="D204" i="63"/>
  <c r="D204" i="62"/>
  <c r="E5" i="61"/>
  <c r="E14" i="61" s="1"/>
  <c r="G5" i="61"/>
  <c r="E16" i="61" s="1"/>
  <c r="I5" i="61"/>
  <c r="C11" i="44"/>
  <c r="G143" i="59" s="1"/>
  <c r="G144" i="60" s="1"/>
  <c r="G145" i="60" s="1"/>
  <c r="C11" i="43"/>
  <c r="H24" i="41"/>
  <c r="D179" i="42" s="1"/>
  <c r="J74" i="59"/>
  <c r="J114" i="59"/>
  <c r="I114" i="59"/>
  <c r="H114" i="59"/>
  <c r="F114" i="59"/>
  <c r="J120" i="59"/>
  <c r="I120" i="59"/>
  <c r="H120" i="59"/>
  <c r="F120" i="59"/>
  <c r="J118" i="59"/>
  <c r="I118" i="59"/>
  <c r="H118" i="59"/>
  <c r="J98" i="59"/>
  <c r="I98" i="59"/>
  <c r="H98" i="59"/>
  <c r="J56" i="59"/>
  <c r="I56" i="59"/>
  <c r="H56" i="59"/>
  <c r="J48" i="59"/>
  <c r="I48" i="59"/>
  <c r="H48" i="59"/>
  <c r="F48" i="59"/>
  <c r="J50" i="59"/>
  <c r="I50" i="59"/>
  <c r="H50" i="59"/>
  <c r="F50" i="59"/>
  <c r="J52" i="59"/>
  <c r="I52" i="59"/>
  <c r="H52" i="59"/>
  <c r="J46" i="59"/>
  <c r="I46" i="59"/>
  <c r="H46" i="59"/>
  <c r="F46" i="59"/>
  <c r="J40" i="59"/>
  <c r="I40" i="59"/>
  <c r="H40" i="59"/>
  <c r="J42" i="59"/>
  <c r="I42" i="59"/>
  <c r="H42" i="59"/>
  <c r="J38" i="59"/>
  <c r="I38" i="59"/>
  <c r="H38" i="59"/>
  <c r="J36" i="59"/>
  <c r="I36" i="59"/>
  <c r="H36" i="59"/>
  <c r="F36" i="59"/>
  <c r="F123" i="59" s="1"/>
  <c r="J32" i="59"/>
  <c r="I32" i="59"/>
  <c r="H32" i="59"/>
  <c r="F32" i="59"/>
  <c r="J30" i="59"/>
  <c r="I30" i="59"/>
  <c r="H30" i="59"/>
  <c r="J16" i="59"/>
  <c r="I16" i="59"/>
  <c r="H16" i="59"/>
  <c r="J12" i="59"/>
  <c r="I12" i="59"/>
  <c r="H12" i="59"/>
  <c r="J10" i="59"/>
  <c r="I10" i="59"/>
  <c r="H10" i="59"/>
  <c r="J6" i="59"/>
  <c r="I6" i="59"/>
  <c r="H6" i="59"/>
  <c r="D126" i="69" l="1"/>
  <c r="D205" i="69" s="1"/>
  <c r="C136" i="69"/>
  <c r="D136" i="69" s="1"/>
  <c r="D131" i="69" s="1"/>
  <c r="D138" i="69" s="1"/>
  <c r="D170" i="69" s="1"/>
  <c r="D154" i="65"/>
  <c r="D167" i="65" s="1"/>
  <c r="D171" i="65" s="1"/>
  <c r="D172" i="65" s="1"/>
  <c r="D144" i="63"/>
  <c r="D145" i="63" s="1"/>
  <c r="D148" i="63" s="1"/>
  <c r="D126" i="63"/>
  <c r="D205" i="63" s="1"/>
  <c r="C136" i="62"/>
  <c r="D136" i="62" s="1"/>
  <c r="D131" i="62" s="1"/>
  <c r="D138" i="62" s="1"/>
  <c r="D170" i="62" s="1"/>
  <c r="D126" i="62"/>
  <c r="D205" i="62" s="1"/>
  <c r="D144" i="62"/>
  <c r="C144" i="62" s="1"/>
  <c r="D144" i="66"/>
  <c r="C136" i="66"/>
  <c r="D136" i="66" s="1"/>
  <c r="D131" i="66" s="1"/>
  <c r="D138" i="66" s="1"/>
  <c r="D170" i="66" s="1"/>
  <c r="D126" i="66"/>
  <c r="D205" i="66" s="1"/>
  <c r="D171" i="70"/>
  <c r="D172" i="70" s="1"/>
  <c r="D185" i="70" s="1"/>
  <c r="C144" i="69"/>
  <c r="D145" i="69"/>
  <c r="D154" i="68"/>
  <c r="D167" i="68" s="1"/>
  <c r="C145" i="67"/>
  <c r="D148" i="67"/>
  <c r="D152" i="67"/>
  <c r="D149" i="67"/>
  <c r="D150" i="67"/>
  <c r="D151" i="67"/>
  <c r="D153" i="67"/>
  <c r="C145" i="64"/>
  <c r="D150" i="64"/>
  <c r="D153" i="64"/>
  <c r="D149" i="64"/>
  <c r="D148" i="64"/>
  <c r="D151" i="64"/>
  <c r="D152" i="64"/>
  <c r="G144" i="59"/>
  <c r="D179" i="44" s="1"/>
  <c r="D2" i="61"/>
  <c r="F5" i="61"/>
  <c r="E15" i="61" s="1"/>
  <c r="I14" i="59"/>
  <c r="I123" i="59" s="1"/>
  <c r="G14" i="59"/>
  <c r="G123" i="59" s="1"/>
  <c r="J14" i="59"/>
  <c r="H14" i="59"/>
  <c r="H123" i="59" s="1"/>
  <c r="H125" i="59" s="1"/>
  <c r="K14" i="59"/>
  <c r="C167" i="65" l="1"/>
  <c r="D152" i="63"/>
  <c r="D149" i="63"/>
  <c r="D150" i="63"/>
  <c r="D153" i="63"/>
  <c r="D151" i="63"/>
  <c r="C144" i="63"/>
  <c r="C145" i="63"/>
  <c r="D145" i="62"/>
  <c r="D153" i="62" s="1"/>
  <c r="C144" i="66"/>
  <c r="D145" i="66"/>
  <c r="D179" i="64"/>
  <c r="D179" i="50"/>
  <c r="D179" i="63"/>
  <c r="D206" i="70"/>
  <c r="D208" i="70" s="1"/>
  <c r="D154" i="64"/>
  <c r="D167" i="64" s="1"/>
  <c r="D171" i="64" s="1"/>
  <c r="D172" i="64" s="1"/>
  <c r="D150" i="62"/>
  <c r="D152" i="62"/>
  <c r="C145" i="62"/>
  <c r="D149" i="62"/>
  <c r="D148" i="62"/>
  <c r="D190" i="70"/>
  <c r="D191" i="70" s="1"/>
  <c r="D192" i="70" s="1"/>
  <c r="D193" i="70" s="1"/>
  <c r="D151" i="69"/>
  <c r="C145" i="69"/>
  <c r="D153" i="69"/>
  <c r="D149" i="69"/>
  <c r="D152" i="69"/>
  <c r="D148" i="69"/>
  <c r="D150" i="69"/>
  <c r="C167" i="68"/>
  <c r="D171" i="68"/>
  <c r="D172" i="68" s="1"/>
  <c r="D154" i="67"/>
  <c r="D167" i="67" s="1"/>
  <c r="D206" i="65"/>
  <c r="K123" i="59"/>
  <c r="K125" i="59" s="1"/>
  <c r="F2" i="61"/>
  <c r="F6" i="61" s="1"/>
  <c r="E2" i="61"/>
  <c r="G2" i="61"/>
  <c r="C16" i="61" s="1"/>
  <c r="F16" i="61" s="1"/>
  <c r="J123" i="59"/>
  <c r="J125" i="59" s="1"/>
  <c r="E13" i="61"/>
  <c r="F13" i="61" s="1"/>
  <c r="D180" i="44"/>
  <c r="C12" i="61"/>
  <c r="I125" i="59"/>
  <c r="G26" i="41"/>
  <c r="F26" i="41" s="1"/>
  <c r="H26" i="41" s="1"/>
  <c r="D154" i="63" l="1"/>
  <c r="D167" i="63" s="1"/>
  <c r="D151" i="62"/>
  <c r="D154" i="62" s="1"/>
  <c r="D167" i="62" s="1"/>
  <c r="C145" i="66"/>
  <c r="D153" i="66"/>
  <c r="D149" i="66"/>
  <c r="D152" i="66"/>
  <c r="D148" i="66"/>
  <c r="D150" i="66"/>
  <c r="D151" i="66"/>
  <c r="C167" i="64"/>
  <c r="D179" i="67"/>
  <c r="D179" i="68"/>
  <c r="D179" i="57"/>
  <c r="D179" i="56"/>
  <c r="D179" i="66"/>
  <c r="D179" i="65"/>
  <c r="D179" i="70"/>
  <c r="D179" i="69"/>
  <c r="D179" i="58"/>
  <c r="D196" i="70"/>
  <c r="D195" i="70"/>
  <c r="D197" i="70"/>
  <c r="D154" i="69"/>
  <c r="D167" i="69" s="1"/>
  <c r="D206" i="68"/>
  <c r="C167" i="67"/>
  <c r="D171" i="67"/>
  <c r="D172" i="67" s="1"/>
  <c r="D206" i="64"/>
  <c r="C167" i="63"/>
  <c r="D171" i="63"/>
  <c r="D172" i="63" s="1"/>
  <c r="G125" i="59"/>
  <c r="I2" i="61"/>
  <c r="G6" i="61"/>
  <c r="C14" i="61"/>
  <c r="F14" i="61" s="1"/>
  <c r="E6" i="61"/>
  <c r="H2" i="61"/>
  <c r="C15" i="61"/>
  <c r="F15" i="61" s="1"/>
  <c r="D76" i="58"/>
  <c r="D74" i="58"/>
  <c r="C73" i="58"/>
  <c r="D72" i="58"/>
  <c r="D70" i="58"/>
  <c r="D76" i="57"/>
  <c r="D74" i="57"/>
  <c r="C73" i="57"/>
  <c r="D72" i="57"/>
  <c r="D70" i="57"/>
  <c r="D76" i="56"/>
  <c r="D74" i="56"/>
  <c r="C73" i="56"/>
  <c r="D72" i="56"/>
  <c r="D70" i="56"/>
  <c r="D76" i="50"/>
  <c r="D74" i="50"/>
  <c r="C73" i="50"/>
  <c r="D72" i="50"/>
  <c r="D70" i="50"/>
  <c r="C32" i="50"/>
  <c r="C36" i="50"/>
  <c r="C37" i="50"/>
  <c r="D76" i="45"/>
  <c r="D74" i="45"/>
  <c r="C73" i="45"/>
  <c r="D72" i="45"/>
  <c r="D70" i="45"/>
  <c r="B215" i="58"/>
  <c r="B215" i="50"/>
  <c r="B215" i="57"/>
  <c r="B215" i="56"/>
  <c r="C198" i="58"/>
  <c r="C192" i="58"/>
  <c r="C190" i="58"/>
  <c r="C153" i="58"/>
  <c r="C162" i="58" s="1"/>
  <c r="C152" i="58"/>
  <c r="C163" i="58" s="1"/>
  <c r="C151" i="58"/>
  <c r="C150" i="58"/>
  <c r="C149" i="58"/>
  <c r="C148" i="58"/>
  <c r="C141" i="58"/>
  <c r="C120" i="58"/>
  <c r="C119" i="58"/>
  <c r="C109" i="58"/>
  <c r="C105" i="58"/>
  <c r="C104" i="58"/>
  <c r="C102" i="58"/>
  <c r="C94" i="58"/>
  <c r="C91" i="58"/>
  <c r="C90" i="58"/>
  <c r="D67" i="58"/>
  <c r="C63" i="58"/>
  <c r="C135" i="58" s="1"/>
  <c r="C50" i="58"/>
  <c r="D43" i="58"/>
  <c r="C37" i="58"/>
  <c r="C36" i="58"/>
  <c r="C32" i="58"/>
  <c r="C27" i="58"/>
  <c r="C12" i="58"/>
  <c r="C198" i="57"/>
  <c r="C192" i="57"/>
  <c r="C190" i="57"/>
  <c r="C153" i="57"/>
  <c r="C162" i="57" s="1"/>
  <c r="C152" i="57"/>
  <c r="C151" i="57"/>
  <c r="C150" i="57"/>
  <c r="C149" i="57"/>
  <c r="C148" i="57"/>
  <c r="C141" i="57"/>
  <c r="C120" i="57"/>
  <c r="C119" i="57"/>
  <c r="C109" i="57"/>
  <c r="C105" i="57"/>
  <c r="C104" i="57"/>
  <c r="C102" i="57"/>
  <c r="C94" i="57"/>
  <c r="C91" i="57"/>
  <c r="C90" i="57"/>
  <c r="D67" i="57"/>
  <c r="C63" i="57"/>
  <c r="C135" i="57" s="1"/>
  <c r="C50" i="57"/>
  <c r="D43" i="57"/>
  <c r="C37" i="57"/>
  <c r="C36" i="57"/>
  <c r="C32" i="57"/>
  <c r="C27" i="57"/>
  <c r="C12" i="57"/>
  <c r="C131" i="57" s="1"/>
  <c r="C12" i="45"/>
  <c r="C12" i="56"/>
  <c r="C12" i="50"/>
  <c r="D76" i="44"/>
  <c r="D74" i="44"/>
  <c r="C73" i="44"/>
  <c r="D72" i="44"/>
  <c r="D76" i="43"/>
  <c r="D74" i="43"/>
  <c r="C73" i="43"/>
  <c r="D72" i="43"/>
  <c r="D76" i="48"/>
  <c r="D74" i="48"/>
  <c r="C73" i="48"/>
  <c r="D72" i="48"/>
  <c r="D76" i="42"/>
  <c r="D74" i="42"/>
  <c r="C73" i="42"/>
  <c r="D72" i="42"/>
  <c r="D154" i="66" l="1"/>
  <c r="D167" i="66" s="1"/>
  <c r="I6" i="61"/>
  <c r="D179" i="45"/>
  <c r="D179" i="62"/>
  <c r="C167" i="62"/>
  <c r="D171" i="62"/>
  <c r="D172" i="62" s="1"/>
  <c r="D198" i="70"/>
  <c r="D199" i="70" s="1"/>
  <c r="D209" i="70" s="1"/>
  <c r="D210" i="70" s="1"/>
  <c r="C215" i="70" s="1"/>
  <c r="D215" i="70" s="1"/>
  <c r="E18" i="38" s="1"/>
  <c r="H18" i="38" s="1"/>
  <c r="J18" i="38" s="1"/>
  <c r="C167" i="69"/>
  <c r="D171" i="69"/>
  <c r="D172" i="69" s="1"/>
  <c r="D206" i="67"/>
  <c r="D206" i="63"/>
  <c r="H6" i="61"/>
  <c r="C17" i="61"/>
  <c r="F17" i="61" s="1"/>
  <c r="D73" i="57"/>
  <c r="C154" i="57"/>
  <c r="C160" i="57" s="1"/>
  <c r="C154" i="58"/>
  <c r="C161" i="58" s="1"/>
  <c r="D73" i="58"/>
  <c r="H29" i="41"/>
  <c r="D178" i="72" s="1"/>
  <c r="D182" i="72" s="1"/>
  <c r="C199" i="58"/>
  <c r="C199" i="57"/>
  <c r="D71" i="58"/>
  <c r="D69" i="58" s="1"/>
  <c r="C81" i="58"/>
  <c r="C142" i="58"/>
  <c r="D71" i="57"/>
  <c r="D69" i="57" s="1"/>
  <c r="D71" i="56"/>
  <c r="D69" i="56" s="1"/>
  <c r="D71" i="50"/>
  <c r="D69" i="50" s="1"/>
  <c r="D71" i="45"/>
  <c r="D69" i="45" s="1"/>
  <c r="C97" i="58"/>
  <c r="C124" i="58"/>
  <c r="C164" i="58"/>
  <c r="C51" i="58"/>
  <c r="C98" i="58"/>
  <c r="C96" i="58" s="1"/>
  <c r="C89" i="58"/>
  <c r="C106" i="58"/>
  <c r="D27" i="58"/>
  <c r="D28" i="58" s="1"/>
  <c r="C131" i="58"/>
  <c r="C157" i="58"/>
  <c r="C163" i="57"/>
  <c r="C97" i="57"/>
  <c r="C142" i="57"/>
  <c r="C124" i="57"/>
  <c r="C164" i="57"/>
  <c r="C51" i="57"/>
  <c r="C98" i="57"/>
  <c r="C96" i="57" s="1"/>
  <c r="C106" i="57"/>
  <c r="C89" i="57"/>
  <c r="D27" i="57"/>
  <c r="C81" i="57"/>
  <c r="C157" i="57"/>
  <c r="D42" i="57" l="1"/>
  <c r="D45" i="57" s="1"/>
  <c r="D28" i="57"/>
  <c r="D206" i="72"/>
  <c r="D207" i="72" s="1"/>
  <c r="D184" i="72"/>
  <c r="D171" i="66"/>
  <c r="D172" i="66" s="1"/>
  <c r="D206" i="66" s="1"/>
  <c r="C167" i="66"/>
  <c r="D206" i="62"/>
  <c r="D206" i="69"/>
  <c r="D208" i="69" s="1"/>
  <c r="D185" i="69"/>
  <c r="C161" i="57"/>
  <c r="D5" i="61"/>
  <c r="E12" i="61" s="1"/>
  <c r="F12" i="61" s="1"/>
  <c r="G133" i="60"/>
  <c r="G134" i="60" s="1"/>
  <c r="C160" i="58"/>
  <c r="F125" i="59"/>
  <c r="H30" i="41"/>
  <c r="H31" i="41"/>
  <c r="H32" i="41"/>
  <c r="H33" i="41"/>
  <c r="H34" i="41"/>
  <c r="D161" i="58"/>
  <c r="D161" i="57"/>
  <c r="D68" i="58"/>
  <c r="D66" i="58" s="1"/>
  <c r="C52" i="58"/>
  <c r="C80" i="58" s="1"/>
  <c r="D42" i="58"/>
  <c r="D45" i="58" s="1"/>
  <c r="C52" i="57"/>
  <c r="C80" i="57" s="1"/>
  <c r="D68" i="57"/>
  <c r="D66" i="57" s="1"/>
  <c r="D189" i="72" l="1"/>
  <c r="D190" i="72" s="1"/>
  <c r="D191" i="72" s="1"/>
  <c r="D192" i="72" s="1"/>
  <c r="D178" i="50"/>
  <c r="D178" i="64"/>
  <c r="D183" i="64" s="1"/>
  <c r="D178" i="63"/>
  <c r="D183" i="63" s="1"/>
  <c r="D178" i="45"/>
  <c r="D178" i="62"/>
  <c r="D183" i="62" s="1"/>
  <c r="D178" i="58"/>
  <c r="D178" i="70"/>
  <c r="D183" i="70" s="1"/>
  <c r="D178" i="69"/>
  <c r="D183" i="69" s="1"/>
  <c r="D178" i="57"/>
  <c r="D178" i="67"/>
  <c r="D183" i="67" s="1"/>
  <c r="D178" i="68"/>
  <c r="D183" i="68" s="1"/>
  <c r="D178" i="56"/>
  <c r="D178" i="66"/>
  <c r="D183" i="66" s="1"/>
  <c r="D178" i="65"/>
  <c r="D183" i="65" s="1"/>
  <c r="D190" i="69"/>
  <c r="D191" i="69" s="1"/>
  <c r="D192" i="69" s="1"/>
  <c r="D193" i="69" s="1"/>
  <c r="D6" i="61"/>
  <c r="D179" i="40"/>
  <c r="D179" i="48"/>
  <c r="D179" i="43"/>
  <c r="D180" i="43"/>
  <c r="D180" i="48"/>
  <c r="D180" i="40"/>
  <c r="D178" i="42"/>
  <c r="D178" i="43"/>
  <c r="D178" i="44"/>
  <c r="D35" i="58"/>
  <c r="D34" i="57"/>
  <c r="D31" i="57"/>
  <c r="D34" i="58"/>
  <c r="D31" i="58"/>
  <c r="D36" i="57"/>
  <c r="D36" i="58"/>
  <c r="D32" i="57"/>
  <c r="D37" i="58"/>
  <c r="D32" i="58"/>
  <c r="D160" i="58"/>
  <c r="D35" i="57"/>
  <c r="D160" i="57"/>
  <c r="D37" i="57"/>
  <c r="D195" i="72" l="1"/>
  <c r="D196" i="72"/>
  <c r="D194" i="72"/>
  <c r="D207" i="65"/>
  <c r="D208" i="65" s="1"/>
  <c r="D185" i="65"/>
  <c r="D190" i="65" s="1"/>
  <c r="D191" i="65" s="1"/>
  <c r="D192" i="65" s="1"/>
  <c r="D193" i="65" s="1"/>
  <c r="D207" i="62"/>
  <c r="D208" i="62" s="1"/>
  <c r="D185" i="62"/>
  <c r="D190" i="62" s="1"/>
  <c r="D191" i="62" s="1"/>
  <c r="D192" i="62" s="1"/>
  <c r="D193" i="62" s="1"/>
  <c r="D207" i="68"/>
  <c r="D208" i="68" s="1"/>
  <c r="D185" i="68"/>
  <c r="D190" i="68" s="1"/>
  <c r="D191" i="68" s="1"/>
  <c r="D192" i="68" s="1"/>
  <c r="D193" i="68" s="1"/>
  <c r="D207" i="67"/>
  <c r="D208" i="67" s="1"/>
  <c r="D185" i="67"/>
  <c r="D190" i="67" s="1"/>
  <c r="D191" i="67" s="1"/>
  <c r="D192" i="67" s="1"/>
  <c r="D193" i="67" s="1"/>
  <c r="D207" i="63"/>
  <c r="D208" i="63" s="1"/>
  <c r="D185" i="63"/>
  <c r="D190" i="63" s="1"/>
  <c r="D191" i="63" s="1"/>
  <c r="D192" i="63" s="1"/>
  <c r="D193" i="63" s="1"/>
  <c r="D207" i="66"/>
  <c r="D208" i="66" s="1"/>
  <c r="D185" i="66"/>
  <c r="D190" i="66" s="1"/>
  <c r="D191" i="66" s="1"/>
  <c r="D192" i="66" s="1"/>
  <c r="D193" i="66" s="1"/>
  <c r="D207" i="64"/>
  <c r="D208" i="64" s="1"/>
  <c r="D185" i="64"/>
  <c r="D190" i="64" s="1"/>
  <c r="D191" i="64" s="1"/>
  <c r="D192" i="64" s="1"/>
  <c r="D193" i="64" s="1"/>
  <c r="D196" i="69"/>
  <c r="D195" i="69"/>
  <c r="D197" i="69"/>
  <c r="D183" i="43"/>
  <c r="D30" i="58"/>
  <c r="D33" i="58"/>
  <c r="D39" i="58" s="1"/>
  <c r="D30" i="57"/>
  <c r="D33" i="57"/>
  <c r="D197" i="72" l="1"/>
  <c r="D198" i="72" s="1"/>
  <c r="D208" i="72" s="1"/>
  <c r="D209" i="72" s="1"/>
  <c r="C214" i="72" s="1"/>
  <c r="D214" i="72" s="1"/>
  <c r="D196" i="67"/>
  <c r="D195" i="67"/>
  <c r="D197" i="67"/>
  <c r="D197" i="64"/>
  <c r="D196" i="64"/>
  <c r="D195" i="64"/>
  <c r="D197" i="62"/>
  <c r="D196" i="62"/>
  <c r="D195" i="62"/>
  <c r="D195" i="68"/>
  <c r="D197" i="68"/>
  <c r="D196" i="68"/>
  <c r="D195" i="66"/>
  <c r="D197" i="66"/>
  <c r="D196" i="66"/>
  <c r="D195" i="65"/>
  <c r="D197" i="65"/>
  <c r="D196" i="65"/>
  <c r="D195" i="63"/>
  <c r="D196" i="63"/>
  <c r="D197" i="63"/>
  <c r="D198" i="69"/>
  <c r="D199" i="69" s="1"/>
  <c r="D209" i="69" s="1"/>
  <c r="D210" i="69" s="1"/>
  <c r="C215" i="69" s="1"/>
  <c r="D215" i="69" s="1"/>
  <c r="D39" i="57"/>
  <c r="D162" i="57"/>
  <c r="D203" i="58"/>
  <c r="D140" i="58"/>
  <c r="D89" i="58"/>
  <c r="D98" i="58"/>
  <c r="D96" i="58"/>
  <c r="D97" i="58"/>
  <c r="D50" i="58"/>
  <c r="C132" i="58"/>
  <c r="D103" i="58"/>
  <c r="D162" i="58"/>
  <c r="C114" i="58"/>
  <c r="D137" i="58"/>
  <c r="C138" i="58" s="1"/>
  <c r="D51" i="58"/>
  <c r="C134" i="58" s="1"/>
  <c r="D134" i="58" s="1"/>
  <c r="D132" i="58"/>
  <c r="C45" i="58"/>
  <c r="C66" i="44"/>
  <c r="C66" i="48"/>
  <c r="C66" i="43"/>
  <c r="C66" i="42"/>
  <c r="C11" i="48"/>
  <c r="D198" i="64" l="1"/>
  <c r="D199" i="64" s="1"/>
  <c r="D209" i="64" s="1"/>
  <c r="D210" i="64" s="1"/>
  <c r="C215" i="64" s="1"/>
  <c r="D215" i="64" s="1"/>
  <c r="E12" i="38" s="1"/>
  <c r="H12" i="38" s="1"/>
  <c r="J12" i="38" s="1"/>
  <c r="D198" i="65"/>
  <c r="D199" i="65" s="1"/>
  <c r="D209" i="65" s="1"/>
  <c r="D210" i="65" s="1"/>
  <c r="C215" i="65" s="1"/>
  <c r="D215" i="65" s="1"/>
  <c r="E13" i="38" s="1"/>
  <c r="D198" i="63"/>
  <c r="D199" i="63" s="1"/>
  <c r="D209" i="63" s="1"/>
  <c r="D210" i="63" s="1"/>
  <c r="C215" i="63" s="1"/>
  <c r="D215" i="63" s="1"/>
  <c r="D198" i="66"/>
  <c r="D199" i="66" s="1"/>
  <c r="D209" i="66" s="1"/>
  <c r="D210" i="66" s="1"/>
  <c r="C215" i="66" s="1"/>
  <c r="D215" i="66" s="1"/>
  <c r="D198" i="68"/>
  <c r="D199" i="68" s="1"/>
  <c r="D209" i="68" s="1"/>
  <c r="D210" i="68" s="1"/>
  <c r="C215" i="68" s="1"/>
  <c r="D215" i="68" s="1"/>
  <c r="E16" i="38" s="1"/>
  <c r="H16" i="38" s="1"/>
  <c r="J16" i="38" s="1"/>
  <c r="D198" i="67"/>
  <c r="D199" i="67" s="1"/>
  <c r="D209" i="67" s="1"/>
  <c r="D210" i="67" s="1"/>
  <c r="C215" i="67" s="1"/>
  <c r="D215" i="67" s="1"/>
  <c r="D198" i="62"/>
  <c r="D199" i="62" s="1"/>
  <c r="D209" i="62" s="1"/>
  <c r="D210" i="62" s="1"/>
  <c r="C215" i="62" s="1"/>
  <c r="D215" i="62" s="1"/>
  <c r="E9" i="38" s="1"/>
  <c r="D51" i="57"/>
  <c r="C134" i="57" s="1"/>
  <c r="D134" i="57" s="1"/>
  <c r="C45" i="57"/>
  <c r="D132" i="57"/>
  <c r="D98" i="57"/>
  <c r="D137" i="57"/>
  <c r="C138" i="57" s="1"/>
  <c r="C132" i="57"/>
  <c r="D97" i="57"/>
  <c r="D140" i="57"/>
  <c r="D157" i="57" s="1"/>
  <c r="D203" i="57"/>
  <c r="C114" i="57"/>
  <c r="D114" i="57" s="1"/>
  <c r="D103" i="57"/>
  <c r="D96" i="57"/>
  <c r="D89" i="57"/>
  <c r="D90" i="57" s="1"/>
  <c r="D50" i="57"/>
  <c r="C133" i="57" s="1"/>
  <c r="D133" i="57" s="1"/>
  <c r="D77" i="58"/>
  <c r="D143" i="58" s="1"/>
  <c r="C143" i="58" s="1"/>
  <c r="D77" i="57"/>
  <c r="D52" i="58"/>
  <c r="C133" i="58"/>
  <c r="D133" i="58" s="1"/>
  <c r="D135" i="58" s="1"/>
  <c r="C115" i="58"/>
  <c r="D115" i="58" s="1"/>
  <c r="D114" i="58"/>
  <c r="D141" i="58"/>
  <c r="D159" i="58" s="1"/>
  <c r="D158" i="58"/>
  <c r="D157" i="58"/>
  <c r="D95" i="58"/>
  <c r="D90" i="58"/>
  <c r="D92" i="58" s="1"/>
  <c r="D91" i="58"/>
  <c r="D105" i="58"/>
  <c r="D104" i="58"/>
  <c r="D106" i="58" s="1"/>
  <c r="D135" i="57" l="1"/>
  <c r="D52" i="57"/>
  <c r="D56" i="57" s="1"/>
  <c r="D95" i="57"/>
  <c r="D94" i="57" s="1"/>
  <c r="D93" i="57" s="1"/>
  <c r="D141" i="57"/>
  <c r="D159" i="57" s="1"/>
  <c r="D158" i="57"/>
  <c r="C115" i="57"/>
  <c r="D115" i="57" s="1"/>
  <c r="D116" i="57" s="1"/>
  <c r="D125" i="57" s="1"/>
  <c r="D92" i="57"/>
  <c r="D104" i="57"/>
  <c r="D106" i="57" s="1"/>
  <c r="D105" i="57"/>
  <c r="D91" i="57"/>
  <c r="C116" i="58"/>
  <c r="D116" i="58"/>
  <c r="D125" i="58" s="1"/>
  <c r="D107" i="58"/>
  <c r="D102" i="58" s="1"/>
  <c r="D82" i="58"/>
  <c r="C82" i="58"/>
  <c r="D143" i="57"/>
  <c r="C143" i="57" s="1"/>
  <c r="D107" i="57"/>
  <c r="D82" i="57"/>
  <c r="C82" i="57"/>
  <c r="D110" i="58"/>
  <c r="D109" i="58" s="1"/>
  <c r="D108" i="58" s="1"/>
  <c r="D94" i="58"/>
  <c r="D93" i="58" s="1"/>
  <c r="D88" i="58"/>
  <c r="D142" i="58"/>
  <c r="D164" i="58" s="1"/>
  <c r="D80" i="58"/>
  <c r="D55" i="58"/>
  <c r="D60" i="58"/>
  <c r="D56" i="58"/>
  <c r="D58" i="58"/>
  <c r="D62" i="58"/>
  <c r="D59" i="58"/>
  <c r="D57" i="58"/>
  <c r="D61" i="58"/>
  <c r="D142" i="57" l="1"/>
  <c r="D164" i="57" s="1"/>
  <c r="D110" i="57"/>
  <c r="D109" i="57" s="1"/>
  <c r="D108" i="57" s="1"/>
  <c r="D55" i="57"/>
  <c r="D60" i="57"/>
  <c r="D58" i="57"/>
  <c r="D59" i="57"/>
  <c r="D61" i="57"/>
  <c r="D80" i="57"/>
  <c r="D62" i="57"/>
  <c r="D123" i="57"/>
  <c r="D57" i="57"/>
  <c r="C116" i="57"/>
  <c r="D88" i="57"/>
  <c r="D99" i="57" s="1"/>
  <c r="D119" i="57" s="1"/>
  <c r="D102" i="57"/>
  <c r="D123" i="58"/>
  <c r="D99" i="58"/>
  <c r="D119" i="58" s="1"/>
  <c r="D111" i="58"/>
  <c r="D120" i="58" s="1"/>
  <c r="D63" i="58"/>
  <c r="D81" i="58" s="1"/>
  <c r="D83" i="58" s="1"/>
  <c r="D163" i="58"/>
  <c r="D165" i="58" s="1"/>
  <c r="C165" i="58" s="1"/>
  <c r="D121" i="58" l="1"/>
  <c r="D122" i="58" s="1"/>
  <c r="D124" i="58" s="1"/>
  <c r="D144" i="58" s="1"/>
  <c r="D111" i="57"/>
  <c r="D120" i="57" s="1"/>
  <c r="D121" i="57" s="1"/>
  <c r="D122" i="57" s="1"/>
  <c r="D124" i="57" s="1"/>
  <c r="D144" i="57" s="1"/>
  <c r="D163" i="57"/>
  <c r="D165" i="57" s="1"/>
  <c r="C165" i="57" s="1"/>
  <c r="D63" i="57"/>
  <c r="D81" i="57" s="1"/>
  <c r="D83" i="57" s="1"/>
  <c r="D204" i="57" s="1"/>
  <c r="D204" i="58"/>
  <c r="C136" i="58" l="1"/>
  <c r="D136" i="58" s="1"/>
  <c r="D131" i="58" s="1"/>
  <c r="D138" i="58" s="1"/>
  <c r="D170" i="58" s="1"/>
  <c r="D126" i="58"/>
  <c r="D205" i="58" s="1"/>
  <c r="D145" i="57"/>
  <c r="D151" i="57" s="1"/>
  <c r="C144" i="57"/>
  <c r="D126" i="57"/>
  <c r="D205" i="57" s="1"/>
  <c r="C136" i="57"/>
  <c r="D136" i="57" s="1"/>
  <c r="D131" i="57" s="1"/>
  <c r="D138" i="57" s="1"/>
  <c r="D170" i="57" s="1"/>
  <c r="C144" i="58"/>
  <c r="D145" i="58"/>
  <c r="D153" i="57" l="1"/>
  <c r="C145" i="57"/>
  <c r="D152" i="57"/>
  <c r="D148" i="57"/>
  <c r="D150" i="57"/>
  <c r="D149" i="57"/>
  <c r="C145" i="58"/>
  <c r="D153" i="58"/>
  <c r="D149" i="58"/>
  <c r="D150" i="58"/>
  <c r="D152" i="58"/>
  <c r="D148" i="58"/>
  <c r="D151" i="58"/>
  <c r="D154" i="57" l="1"/>
  <c r="D167" i="57" s="1"/>
  <c r="C167" i="57" s="1"/>
  <c r="D154" i="58"/>
  <c r="D167" i="58" s="1"/>
  <c r="C167" i="58" s="1"/>
  <c r="D171" i="57" l="1"/>
  <c r="D172" i="57" s="1"/>
  <c r="D206" i="57" s="1"/>
  <c r="D171" i="58"/>
  <c r="D172" i="58" s="1"/>
  <c r="D206" i="58" s="1"/>
  <c r="C12" i="44" l="1"/>
  <c r="C12" i="43"/>
  <c r="C12" i="48"/>
  <c r="C12" i="40"/>
  <c r="C12" i="42"/>
  <c r="D19" i="44"/>
  <c r="D19" i="48"/>
  <c r="C51" i="40" l="1"/>
  <c r="D74" i="40"/>
  <c r="D72" i="40"/>
  <c r="F5" i="41" l="1"/>
  <c r="H5" i="41" s="1"/>
  <c r="C192" i="56" l="1"/>
  <c r="C190" i="56"/>
  <c r="C192" i="50"/>
  <c r="C190" i="50"/>
  <c r="C192" i="48"/>
  <c r="C190" i="48"/>
  <c r="C192" i="45"/>
  <c r="C190" i="45"/>
  <c r="C190" i="44"/>
  <c r="C192" i="44"/>
  <c r="C190" i="43"/>
  <c r="C192" i="43"/>
  <c r="C191" i="42" l="1"/>
  <c r="C189" i="42"/>
  <c r="C27" i="56"/>
  <c r="C27" i="50"/>
  <c r="C27" i="48"/>
  <c r="C27" i="45"/>
  <c r="D27" i="45" s="1"/>
  <c r="C27" i="44"/>
  <c r="D27" i="44" s="1"/>
  <c r="C27" i="43"/>
  <c r="C27" i="42"/>
  <c r="C198" i="56"/>
  <c r="C199" i="56" s="1"/>
  <c r="C153" i="56"/>
  <c r="C164" i="56" s="1"/>
  <c r="C152" i="56"/>
  <c r="D73" i="56" s="1"/>
  <c r="C151" i="56"/>
  <c r="C150" i="56"/>
  <c r="C149" i="56"/>
  <c r="C148" i="56"/>
  <c r="C141" i="56"/>
  <c r="C131" i="56"/>
  <c r="C124" i="56"/>
  <c r="C120" i="56"/>
  <c r="C119" i="56"/>
  <c r="C109" i="56"/>
  <c r="C105" i="56"/>
  <c r="C104" i="56"/>
  <c r="C102" i="56"/>
  <c r="C98" i="56"/>
  <c r="C96" i="56" s="1"/>
  <c r="C97" i="56"/>
  <c r="C94" i="56"/>
  <c r="C91" i="56"/>
  <c r="C90" i="56"/>
  <c r="C89" i="56"/>
  <c r="D67" i="56"/>
  <c r="C63" i="56"/>
  <c r="C142" i="56" s="1"/>
  <c r="C51" i="56"/>
  <c r="C50" i="56"/>
  <c r="D43" i="56"/>
  <c r="C37" i="56"/>
  <c r="C36" i="56"/>
  <c r="C32" i="56"/>
  <c r="C198" i="50"/>
  <c r="C199" i="50" s="1"/>
  <c r="C153" i="50"/>
  <c r="C164" i="50" s="1"/>
  <c r="C152" i="50"/>
  <c r="D73" i="50" s="1"/>
  <c r="C151" i="50"/>
  <c r="C150" i="50"/>
  <c r="C149" i="50"/>
  <c r="C148" i="50"/>
  <c r="C141" i="50"/>
  <c r="C131" i="50"/>
  <c r="C124" i="50"/>
  <c r="C120" i="50"/>
  <c r="C119" i="50"/>
  <c r="C109" i="50"/>
  <c r="C105" i="50"/>
  <c r="C104" i="50"/>
  <c r="C102" i="50"/>
  <c r="C98" i="50"/>
  <c r="C96" i="50" s="1"/>
  <c r="C97" i="50"/>
  <c r="C94" i="50"/>
  <c r="C91" i="50"/>
  <c r="C90" i="50"/>
  <c r="C89" i="50"/>
  <c r="D67" i="50"/>
  <c r="C63" i="50"/>
  <c r="C142" i="50" s="1"/>
  <c r="C51" i="50"/>
  <c r="C50" i="50"/>
  <c r="D43" i="50"/>
  <c r="C198" i="48"/>
  <c r="C199" i="48" s="1"/>
  <c r="C153" i="48"/>
  <c r="C164" i="48" s="1"/>
  <c r="C152" i="48"/>
  <c r="C151" i="48"/>
  <c r="C150" i="48"/>
  <c r="C149" i="48"/>
  <c r="C148" i="48"/>
  <c r="C141" i="48"/>
  <c r="C131" i="48"/>
  <c r="C124" i="48"/>
  <c r="C120" i="48"/>
  <c r="C119" i="48"/>
  <c r="C109" i="48"/>
  <c r="C105" i="48"/>
  <c r="C104" i="48"/>
  <c r="C102" i="48"/>
  <c r="C98" i="48"/>
  <c r="C96" i="48" s="1"/>
  <c r="C97" i="48"/>
  <c r="C94" i="48"/>
  <c r="C91" i="48"/>
  <c r="C90" i="48"/>
  <c r="C89" i="48"/>
  <c r="D70" i="48"/>
  <c r="D71" i="48" s="1"/>
  <c r="D69" i="48" s="1"/>
  <c r="D67" i="48"/>
  <c r="C63" i="48"/>
  <c r="C142" i="48" s="1"/>
  <c r="C51" i="48"/>
  <c r="C52" i="48" s="1"/>
  <c r="C80" i="48" s="1"/>
  <c r="C50" i="48"/>
  <c r="D43" i="48"/>
  <c r="C37" i="48"/>
  <c r="C36" i="48"/>
  <c r="C32" i="48"/>
  <c r="C198" i="45"/>
  <c r="C199" i="45" s="1"/>
  <c r="C153" i="45"/>
  <c r="C164" i="45" s="1"/>
  <c r="C152" i="45"/>
  <c r="D73" i="45" s="1"/>
  <c r="C151" i="45"/>
  <c r="C150" i="45"/>
  <c r="C149" i="45"/>
  <c r="C148" i="45"/>
  <c r="C141" i="45"/>
  <c r="C131" i="45"/>
  <c r="C124" i="45"/>
  <c r="C120" i="45"/>
  <c r="C119" i="45"/>
  <c r="C109" i="45"/>
  <c r="C105" i="45"/>
  <c r="C104" i="45"/>
  <c r="C102" i="45"/>
  <c r="C98" i="45"/>
  <c r="C96" i="45" s="1"/>
  <c r="C97" i="45"/>
  <c r="C94" i="45"/>
  <c r="C91" i="45"/>
  <c r="C90" i="45"/>
  <c r="C89" i="45"/>
  <c r="D67" i="45"/>
  <c r="C63" i="45"/>
  <c r="C142" i="45" s="1"/>
  <c r="C51" i="45"/>
  <c r="C50" i="45"/>
  <c r="D43" i="45"/>
  <c r="C37" i="45"/>
  <c r="C36" i="45"/>
  <c r="C32" i="45"/>
  <c r="C198" i="44"/>
  <c r="C199" i="44" s="1"/>
  <c r="C153" i="44"/>
  <c r="C162" i="44" s="1"/>
  <c r="C152" i="44"/>
  <c r="C151" i="44"/>
  <c r="C150" i="44"/>
  <c r="C149" i="44"/>
  <c r="C148" i="44"/>
  <c r="C141" i="44"/>
  <c r="C131" i="44"/>
  <c r="C124" i="44"/>
  <c r="C120" i="44"/>
  <c r="C119" i="44"/>
  <c r="C109" i="44"/>
  <c r="C105" i="44"/>
  <c r="C104" i="44"/>
  <c r="C102" i="44"/>
  <c r="C98" i="44"/>
  <c r="C96" i="44" s="1"/>
  <c r="C97" i="44"/>
  <c r="C94" i="44"/>
  <c r="C91" i="44"/>
  <c r="C90" i="44"/>
  <c r="C89" i="44"/>
  <c r="D70" i="44"/>
  <c r="D71" i="44" s="1"/>
  <c r="D69" i="44" s="1"/>
  <c r="D67" i="44"/>
  <c r="C63" i="44"/>
  <c r="C142" i="44" s="1"/>
  <c r="C51" i="44"/>
  <c r="C50" i="44"/>
  <c r="D43" i="44"/>
  <c r="C37" i="44"/>
  <c r="C36" i="44"/>
  <c r="C32" i="44"/>
  <c r="C198" i="43"/>
  <c r="C199" i="43" s="1"/>
  <c r="C153" i="43"/>
  <c r="C164" i="43" s="1"/>
  <c r="C152" i="43"/>
  <c r="C151" i="43"/>
  <c r="C150" i="43"/>
  <c r="C149" i="43"/>
  <c r="C148" i="43"/>
  <c r="C141" i="43"/>
  <c r="C124" i="43"/>
  <c r="C120" i="43"/>
  <c r="C119" i="43"/>
  <c r="C109" i="43"/>
  <c r="C105" i="43"/>
  <c r="C104" i="43"/>
  <c r="C102" i="43"/>
  <c r="C98" i="43"/>
  <c r="C96" i="43" s="1"/>
  <c r="C97" i="43"/>
  <c r="C94" i="43"/>
  <c r="C91" i="43"/>
  <c r="C90" i="43"/>
  <c r="C89" i="43"/>
  <c r="D70" i="43"/>
  <c r="D71" i="43" s="1"/>
  <c r="D67" i="43"/>
  <c r="C63" i="43"/>
  <c r="C142" i="43" s="1"/>
  <c r="C51" i="43"/>
  <c r="C50" i="43"/>
  <c r="D43" i="43"/>
  <c r="C37" i="43"/>
  <c r="C36" i="43"/>
  <c r="C32" i="43"/>
  <c r="C197" i="42"/>
  <c r="C153" i="42"/>
  <c r="C164" i="42" s="1"/>
  <c r="C152" i="42"/>
  <c r="D73" i="42" s="1"/>
  <c r="C151" i="42"/>
  <c r="C150" i="42"/>
  <c r="C149" i="42"/>
  <c r="C148" i="42"/>
  <c r="C141" i="42"/>
  <c r="C131" i="42"/>
  <c r="C124" i="42"/>
  <c r="C120" i="42"/>
  <c r="C119" i="42"/>
  <c r="C109" i="42"/>
  <c r="C105" i="42"/>
  <c r="C104" i="42"/>
  <c r="C102" i="42"/>
  <c r="C98" i="42"/>
  <c r="C96" i="42" s="1"/>
  <c r="C97" i="42"/>
  <c r="C94" i="42"/>
  <c r="C91" i="42"/>
  <c r="C90" i="42"/>
  <c r="C89" i="42"/>
  <c r="D71" i="42"/>
  <c r="D69" i="42" s="1"/>
  <c r="D67" i="42"/>
  <c r="C63" i="42"/>
  <c r="C142" i="42" s="1"/>
  <c r="C51" i="42"/>
  <c r="C50" i="42"/>
  <c r="D43" i="42"/>
  <c r="C37" i="42"/>
  <c r="C36" i="42"/>
  <c r="C32" i="42"/>
  <c r="C154" i="44" l="1"/>
  <c r="C52" i="45"/>
  <c r="C80" i="45" s="1"/>
  <c r="C52" i="56"/>
  <c r="C80" i="56" s="1"/>
  <c r="C157" i="56"/>
  <c r="C154" i="48"/>
  <c r="C160" i="48" s="1"/>
  <c r="C154" i="43"/>
  <c r="C160" i="43" s="1"/>
  <c r="C163" i="43"/>
  <c r="D73" i="43"/>
  <c r="C157" i="44"/>
  <c r="C163" i="44"/>
  <c r="D73" i="44"/>
  <c r="C154" i="50"/>
  <c r="C160" i="50" s="1"/>
  <c r="C52" i="50"/>
  <c r="C80" i="50" s="1"/>
  <c r="C157" i="50"/>
  <c r="C162" i="50"/>
  <c r="C154" i="45"/>
  <c r="C160" i="45" s="1"/>
  <c r="C154" i="56"/>
  <c r="C161" i="56" s="1"/>
  <c r="D161" i="56" s="1"/>
  <c r="C162" i="56"/>
  <c r="C163" i="48"/>
  <c r="D73" i="48"/>
  <c r="C81" i="44"/>
  <c r="C81" i="43"/>
  <c r="C52" i="44"/>
  <c r="C80" i="44" s="1"/>
  <c r="C198" i="42"/>
  <c r="D27" i="48"/>
  <c r="D28" i="48" s="1"/>
  <c r="D27" i="56"/>
  <c r="D68" i="42"/>
  <c r="D66" i="42" s="1"/>
  <c r="C81" i="42"/>
  <c r="C135" i="43"/>
  <c r="C52" i="43"/>
  <c r="C80" i="43" s="1"/>
  <c r="C106" i="43"/>
  <c r="C135" i="44"/>
  <c r="C106" i="48"/>
  <c r="C81" i="50"/>
  <c r="C106" i="50"/>
  <c r="C81" i="56"/>
  <c r="C135" i="56"/>
  <c r="C106" i="56"/>
  <c r="D27" i="50"/>
  <c r="D28" i="50" s="1"/>
  <c r="C106" i="45"/>
  <c r="C81" i="45"/>
  <c r="C163" i="56"/>
  <c r="C135" i="50"/>
  <c r="C163" i="50"/>
  <c r="C81" i="48"/>
  <c r="C135" i="48"/>
  <c r="C157" i="48"/>
  <c r="C162" i="48"/>
  <c r="D42" i="45"/>
  <c r="D45" i="45" s="1"/>
  <c r="D68" i="45"/>
  <c r="D66" i="45" s="1"/>
  <c r="C135" i="45"/>
  <c r="C157" i="45"/>
  <c r="C162" i="45"/>
  <c r="C163" i="45"/>
  <c r="C161" i="44"/>
  <c r="D161" i="44" s="1"/>
  <c r="C160" i="44"/>
  <c r="C164" i="44"/>
  <c r="D68" i="44"/>
  <c r="D66" i="44" s="1"/>
  <c r="D42" i="44"/>
  <c r="D45" i="44" s="1"/>
  <c r="C106" i="44"/>
  <c r="D28" i="44"/>
  <c r="D29" i="44"/>
  <c r="D29" i="43"/>
  <c r="D68" i="43"/>
  <c r="D66" i="43" s="1"/>
  <c r="D28" i="43"/>
  <c r="D42" i="43"/>
  <c r="D45" i="43" s="1"/>
  <c r="D69" i="43"/>
  <c r="C162" i="43"/>
  <c r="C157" i="43"/>
  <c r="C154" i="42"/>
  <c r="C52" i="42"/>
  <c r="C80" i="42" s="1"/>
  <c r="C106" i="42"/>
  <c r="C135" i="42"/>
  <c r="C157" i="42"/>
  <c r="C162" i="42"/>
  <c r="C163" i="42"/>
  <c r="D42" i="56" l="1"/>
  <c r="D45" i="56" s="1"/>
  <c r="D28" i="56"/>
  <c r="C161" i="50"/>
  <c r="D161" i="50" s="1"/>
  <c r="C161" i="43"/>
  <c r="C161" i="48"/>
  <c r="D161" i="48" s="1"/>
  <c r="C161" i="45"/>
  <c r="D161" i="45" s="1"/>
  <c r="C160" i="56"/>
  <c r="D31" i="48"/>
  <c r="D36" i="43"/>
  <c r="D68" i="48"/>
  <c r="D66" i="48" s="1"/>
  <c r="D160" i="48" s="1"/>
  <c r="D42" i="48"/>
  <c r="D45" i="48" s="1"/>
  <c r="D68" i="56"/>
  <c r="D66" i="56" s="1"/>
  <c r="D28" i="42"/>
  <c r="D42" i="42"/>
  <c r="D45" i="42" s="1"/>
  <c r="D34" i="44"/>
  <c r="D42" i="50"/>
  <c r="D45" i="50" s="1"/>
  <c r="D68" i="50"/>
  <c r="D66" i="50" s="1"/>
  <c r="D160" i="50" s="1"/>
  <c r="D35" i="44"/>
  <c r="D31" i="45"/>
  <c r="D35" i="45"/>
  <c r="D31" i="44"/>
  <c r="D32" i="44"/>
  <c r="D37" i="44"/>
  <c r="D36" i="44"/>
  <c r="D31" i="43"/>
  <c r="D32" i="43"/>
  <c r="D34" i="45"/>
  <c r="D160" i="45"/>
  <c r="D32" i="45"/>
  <c r="D37" i="45"/>
  <c r="D36" i="45"/>
  <c r="D160" i="44"/>
  <c r="D35" i="43"/>
  <c r="D161" i="43"/>
  <c r="D160" i="43"/>
  <c r="D34" i="43"/>
  <c r="D37" i="43"/>
  <c r="C160" i="42"/>
  <c r="D160" i="42" s="1"/>
  <c r="C161" i="42"/>
  <c r="D161" i="42" s="1"/>
  <c r="F11" i="41"/>
  <c r="H11" i="41" s="1"/>
  <c r="F10" i="41"/>
  <c r="H10" i="41" s="1"/>
  <c r="F9" i="41"/>
  <c r="H9" i="41" s="1"/>
  <c r="F8" i="41"/>
  <c r="H8" i="41" s="1"/>
  <c r="F7" i="41"/>
  <c r="H7" i="41" s="1"/>
  <c r="F6" i="41"/>
  <c r="H6" i="41" s="1"/>
  <c r="H12" i="41" s="1"/>
  <c r="C153" i="40"/>
  <c r="C164" i="40" s="1"/>
  <c r="C152" i="40"/>
  <c r="C151" i="40"/>
  <c r="C150" i="40"/>
  <c r="C149" i="40"/>
  <c r="C148" i="40"/>
  <c r="D27" i="40"/>
  <c r="D68" i="40" s="1"/>
  <c r="C197" i="40"/>
  <c r="C198" i="40" s="1"/>
  <c r="C141" i="40"/>
  <c r="C120" i="40"/>
  <c r="C119" i="40"/>
  <c r="C109" i="40"/>
  <c r="C105" i="40"/>
  <c r="C104" i="40"/>
  <c r="C102" i="40"/>
  <c r="C94" i="40"/>
  <c r="C91" i="40"/>
  <c r="C90" i="40"/>
  <c r="D76" i="40"/>
  <c r="D67" i="40"/>
  <c r="C63" i="40"/>
  <c r="C106" i="40" s="1"/>
  <c r="C50" i="40"/>
  <c r="D43" i="40"/>
  <c r="C37" i="40"/>
  <c r="C36" i="40"/>
  <c r="C32" i="40"/>
  <c r="C98" i="40"/>
  <c r="C96" i="40" s="1"/>
  <c r="D177" i="50" l="1"/>
  <c r="D183" i="50" s="1"/>
  <c r="D177" i="45"/>
  <c r="D183" i="45" s="1"/>
  <c r="D177" i="44"/>
  <c r="D183" i="44" s="1"/>
  <c r="D177" i="57"/>
  <c r="D183" i="57" s="1"/>
  <c r="D177" i="58"/>
  <c r="D183" i="58" s="1"/>
  <c r="D177" i="56"/>
  <c r="D183" i="56" s="1"/>
  <c r="D160" i="56"/>
  <c r="C163" i="40"/>
  <c r="C157" i="40"/>
  <c r="D32" i="50"/>
  <c r="D37" i="50"/>
  <c r="D31" i="50"/>
  <c r="D36" i="50"/>
  <c r="D35" i="50"/>
  <c r="D34" i="50"/>
  <c r="D71" i="40"/>
  <c r="D69" i="40" s="1"/>
  <c r="D37" i="48"/>
  <c r="D34" i="48"/>
  <c r="D36" i="48"/>
  <c r="D31" i="56"/>
  <c r="D35" i="48"/>
  <c r="D32" i="48"/>
  <c r="D30" i="48" s="1"/>
  <c r="D34" i="56"/>
  <c r="D36" i="56"/>
  <c r="D32" i="42"/>
  <c r="D37" i="56"/>
  <c r="D35" i="56"/>
  <c r="D36" i="42"/>
  <c r="D32" i="56"/>
  <c r="D35" i="42"/>
  <c r="D31" i="42"/>
  <c r="D34" i="42"/>
  <c r="D30" i="43"/>
  <c r="D37" i="42"/>
  <c r="D33" i="44"/>
  <c r="D30" i="45"/>
  <c r="D30" i="44"/>
  <c r="D33" i="45"/>
  <c r="D33" i="43"/>
  <c r="C162" i="40"/>
  <c r="C154" i="40"/>
  <c r="C161" i="40" s="1"/>
  <c r="D66" i="40"/>
  <c r="D42" i="40"/>
  <c r="D45" i="40" s="1"/>
  <c r="D28" i="40"/>
  <c r="C81" i="40"/>
  <c r="C131" i="40"/>
  <c r="C135" i="40"/>
  <c r="C142" i="40"/>
  <c r="C97" i="40"/>
  <c r="C124" i="40"/>
  <c r="D177" i="48" l="1"/>
  <c r="D177" i="42"/>
  <c r="D178" i="48"/>
  <c r="D30" i="50"/>
  <c r="D178" i="40"/>
  <c r="D33" i="50"/>
  <c r="D161" i="40"/>
  <c r="D177" i="40"/>
  <c r="D33" i="48"/>
  <c r="D39" i="48" s="1"/>
  <c r="D30" i="56"/>
  <c r="D30" i="42"/>
  <c r="D33" i="56"/>
  <c r="D39" i="45"/>
  <c r="D33" i="42"/>
  <c r="D39" i="43"/>
  <c r="D39" i="44"/>
  <c r="C160" i="40"/>
  <c r="D160" i="40" s="1"/>
  <c r="D34" i="40"/>
  <c r="D37" i="40"/>
  <c r="D36" i="40"/>
  <c r="D35" i="40"/>
  <c r="D31" i="40"/>
  <c r="D32" i="40"/>
  <c r="C52" i="40"/>
  <c r="C80" i="40" s="1"/>
  <c r="D183" i="48" l="1"/>
  <c r="D207" i="48" s="1"/>
  <c r="D207" i="57"/>
  <c r="D208" i="57" s="1"/>
  <c r="D207" i="43"/>
  <c r="D96" i="45"/>
  <c r="D39" i="56"/>
  <c r="D140" i="56" s="1"/>
  <c r="D158" i="56" s="1"/>
  <c r="D207" i="58"/>
  <c r="D208" i="58" s="1"/>
  <c r="D140" i="44"/>
  <c r="D158" i="44" s="1"/>
  <c r="D103" i="43"/>
  <c r="D104" i="43" s="1"/>
  <c r="D106" i="43" s="1"/>
  <c r="D98" i="48"/>
  <c r="D207" i="45"/>
  <c r="D207" i="44"/>
  <c r="D207" i="56"/>
  <c r="D207" i="50"/>
  <c r="D182" i="42"/>
  <c r="D206" i="42" s="1"/>
  <c r="D39" i="42"/>
  <c r="D39" i="50"/>
  <c r="D140" i="45"/>
  <c r="D158" i="45" s="1"/>
  <c r="C114" i="45"/>
  <c r="D114" i="45" s="1"/>
  <c r="D50" i="45"/>
  <c r="D132" i="45"/>
  <c r="D203" i="45"/>
  <c r="D97" i="45"/>
  <c r="D51" i="45"/>
  <c r="C134" i="45" s="1"/>
  <c r="D134" i="45" s="1"/>
  <c r="D203" i="44"/>
  <c r="D103" i="45"/>
  <c r="D105" i="45" s="1"/>
  <c r="C132" i="45"/>
  <c r="C45" i="44"/>
  <c r="D162" i="45"/>
  <c r="D103" i="44"/>
  <c r="D104" i="44" s="1"/>
  <c r="D106" i="44" s="1"/>
  <c r="D137" i="44"/>
  <c r="C138" i="44" s="1"/>
  <c r="D162" i="44"/>
  <c r="D50" i="44"/>
  <c r="C133" i="44" s="1"/>
  <c r="D133" i="44" s="1"/>
  <c r="D97" i="44"/>
  <c r="D98" i="44"/>
  <c r="D103" i="48"/>
  <c r="D105" i="48" s="1"/>
  <c r="D140" i="48"/>
  <c r="D157" i="48" s="1"/>
  <c r="D89" i="45"/>
  <c r="D91" i="45" s="1"/>
  <c r="D98" i="45"/>
  <c r="C45" i="45"/>
  <c r="D137" i="45"/>
  <c r="C138" i="45" s="1"/>
  <c r="D51" i="48"/>
  <c r="C134" i="48" s="1"/>
  <c r="D134" i="48" s="1"/>
  <c r="D137" i="43"/>
  <c r="C138" i="43" s="1"/>
  <c r="D50" i="43"/>
  <c r="C133" i="43" s="1"/>
  <c r="D133" i="43" s="1"/>
  <c r="D203" i="43"/>
  <c r="C132" i="43"/>
  <c r="D162" i="48"/>
  <c r="D96" i="48"/>
  <c r="C114" i="43"/>
  <c r="C115" i="43" s="1"/>
  <c r="D115" i="43" s="1"/>
  <c r="D162" i="43"/>
  <c r="D137" i="48"/>
  <c r="C138" i="48" s="1"/>
  <c r="D89" i="48"/>
  <c r="D90" i="48" s="1"/>
  <c r="D89" i="43"/>
  <c r="D91" i="43" s="1"/>
  <c r="D132" i="43"/>
  <c r="C45" i="43"/>
  <c r="D96" i="44"/>
  <c r="D50" i="48"/>
  <c r="C114" i="48"/>
  <c r="C115" i="48" s="1"/>
  <c r="D115" i="48" s="1"/>
  <c r="D51" i="44"/>
  <c r="C134" i="44" s="1"/>
  <c r="D134" i="44" s="1"/>
  <c r="D97" i="48"/>
  <c r="D98" i="43"/>
  <c r="D96" i="43"/>
  <c r="C114" i="44"/>
  <c r="C115" i="44" s="1"/>
  <c r="D115" i="44" s="1"/>
  <c r="D203" i="48"/>
  <c r="C132" i="48"/>
  <c r="D132" i="44"/>
  <c r="D51" i="43"/>
  <c r="C134" i="43" s="1"/>
  <c r="D134" i="43" s="1"/>
  <c r="D140" i="43"/>
  <c r="D158" i="43" s="1"/>
  <c r="D97" i="43"/>
  <c r="D89" i="44"/>
  <c r="D91" i="44" s="1"/>
  <c r="D132" i="48"/>
  <c r="C45" i="48"/>
  <c r="C132" i="44"/>
  <c r="D162" i="56"/>
  <c r="D33" i="40"/>
  <c r="D30" i="40"/>
  <c r="D105" i="43" l="1"/>
  <c r="C115" i="45"/>
  <c r="D115" i="45" s="1"/>
  <c r="D116" i="45" s="1"/>
  <c r="D125" i="45" s="1"/>
  <c r="D141" i="44"/>
  <c r="D159" i="44" s="1"/>
  <c r="D157" i="44"/>
  <c r="D185" i="57"/>
  <c r="D190" i="57" s="1"/>
  <c r="D191" i="57" s="1"/>
  <c r="D192" i="57" s="1"/>
  <c r="D193" i="57" s="1"/>
  <c r="D195" i="57" s="1"/>
  <c r="D103" i="56"/>
  <c r="D105" i="56" s="1"/>
  <c r="D96" i="56"/>
  <c r="D51" i="56"/>
  <c r="C134" i="56" s="1"/>
  <c r="D134" i="56" s="1"/>
  <c r="D89" i="56"/>
  <c r="D90" i="56" s="1"/>
  <c r="D92" i="56" s="1"/>
  <c r="D137" i="56"/>
  <c r="C138" i="56" s="1"/>
  <c r="D132" i="56"/>
  <c r="D98" i="56"/>
  <c r="D203" i="56"/>
  <c r="C114" i="56"/>
  <c r="C115" i="56" s="1"/>
  <c r="D115" i="56" s="1"/>
  <c r="C45" i="56"/>
  <c r="D97" i="56"/>
  <c r="C132" i="56"/>
  <c r="D98" i="50"/>
  <c r="D50" i="56"/>
  <c r="C133" i="56" s="1"/>
  <c r="D133" i="56" s="1"/>
  <c r="D77" i="56"/>
  <c r="D82" i="56" s="1"/>
  <c r="D185" i="58"/>
  <c r="D190" i="58" s="1"/>
  <c r="D191" i="58" s="1"/>
  <c r="D192" i="58" s="1"/>
  <c r="D193" i="58" s="1"/>
  <c r="D196" i="58" s="1"/>
  <c r="C132" i="42"/>
  <c r="D96" i="42"/>
  <c r="D89" i="50"/>
  <c r="D91" i="50" s="1"/>
  <c r="D158" i="48"/>
  <c r="D52" i="45"/>
  <c r="D57" i="45" s="1"/>
  <c r="C133" i="45"/>
  <c r="D133" i="45" s="1"/>
  <c r="D135" i="45" s="1"/>
  <c r="D137" i="50"/>
  <c r="C138" i="50" s="1"/>
  <c r="D97" i="50"/>
  <c r="D105" i="44"/>
  <c r="C114" i="50"/>
  <c r="D114" i="50" s="1"/>
  <c r="D51" i="50"/>
  <c r="C134" i="50" s="1"/>
  <c r="D134" i="50" s="1"/>
  <c r="D103" i="50"/>
  <c r="D104" i="50" s="1"/>
  <c r="C132" i="50"/>
  <c r="D162" i="50"/>
  <c r="D157" i="45"/>
  <c r="D50" i="50"/>
  <c r="C133" i="50" s="1"/>
  <c r="D133" i="50" s="1"/>
  <c r="D203" i="50"/>
  <c r="D132" i="50"/>
  <c r="D96" i="50"/>
  <c r="D140" i="50"/>
  <c r="D158" i="50" s="1"/>
  <c r="C45" i="50"/>
  <c r="D141" i="45"/>
  <c r="D159" i="45" s="1"/>
  <c r="D141" i="56"/>
  <c r="D159" i="56" s="1"/>
  <c r="D104" i="45"/>
  <c r="D106" i="45" s="1"/>
  <c r="D104" i="48"/>
  <c r="D106" i="48" s="1"/>
  <c r="D89" i="42"/>
  <c r="D90" i="42" s="1"/>
  <c r="D92" i="42" s="1"/>
  <c r="D77" i="48"/>
  <c r="D107" i="48" s="1"/>
  <c r="C116" i="44"/>
  <c r="D114" i="43"/>
  <c r="D116" i="43" s="1"/>
  <c r="D125" i="43" s="1"/>
  <c r="D77" i="43"/>
  <c r="D82" i="43" s="1"/>
  <c r="D137" i="42"/>
  <c r="D95" i="45"/>
  <c r="D110" i="45" s="1"/>
  <c r="D109" i="45" s="1"/>
  <c r="D108" i="45" s="1"/>
  <c r="D142" i="44"/>
  <c r="D164" i="44" s="1"/>
  <c r="D98" i="42"/>
  <c r="D140" i="42"/>
  <c r="D141" i="42" s="1"/>
  <c r="D159" i="42" s="1"/>
  <c r="D52" i="44"/>
  <c r="D58" i="44" s="1"/>
  <c r="C45" i="42"/>
  <c r="D114" i="44"/>
  <c r="D116" i="44" s="1"/>
  <c r="D125" i="44" s="1"/>
  <c r="D162" i="42"/>
  <c r="D77" i="45"/>
  <c r="D82" i="45" s="1"/>
  <c r="D51" i="42"/>
  <c r="C134" i="42" s="1"/>
  <c r="D134" i="42" s="1"/>
  <c r="D97" i="42"/>
  <c r="C116" i="48"/>
  <c r="C114" i="42"/>
  <c r="D103" i="42"/>
  <c r="D105" i="42" s="1"/>
  <c r="D50" i="42"/>
  <c r="D157" i="56"/>
  <c r="D95" i="44"/>
  <c r="D110" i="44" s="1"/>
  <c r="D109" i="44" s="1"/>
  <c r="D108" i="44" s="1"/>
  <c r="D77" i="44"/>
  <c r="D143" i="44" s="1"/>
  <c r="C143" i="44" s="1"/>
  <c r="D132" i="42"/>
  <c r="D202" i="42"/>
  <c r="D141" i="43"/>
  <c r="D159" i="43" s="1"/>
  <c r="D91" i="48"/>
  <c r="D157" i="43"/>
  <c r="D95" i="43"/>
  <c r="D94" i="43" s="1"/>
  <c r="D93" i="43" s="1"/>
  <c r="D90" i="45"/>
  <c r="D92" i="45" s="1"/>
  <c r="D141" i="48"/>
  <c r="D159" i="48" s="1"/>
  <c r="D114" i="48"/>
  <c r="D116" i="48" s="1"/>
  <c r="D125" i="48" s="1"/>
  <c r="D52" i="48"/>
  <c r="D56" i="48" s="1"/>
  <c r="D95" i="48"/>
  <c r="D94" i="48" s="1"/>
  <c r="D93" i="48" s="1"/>
  <c r="D92" i="48"/>
  <c r="D90" i="43"/>
  <c r="D92" i="43" s="1"/>
  <c r="D135" i="43"/>
  <c r="D39" i="40"/>
  <c r="D135" i="44"/>
  <c r="D52" i="43"/>
  <c r="D60" i="43" s="1"/>
  <c r="D90" i="44"/>
  <c r="D92" i="44" s="1"/>
  <c r="C133" i="48"/>
  <c r="D133" i="48" s="1"/>
  <c r="D135" i="48" s="1"/>
  <c r="C116" i="43"/>
  <c r="C116" i="45" l="1"/>
  <c r="D135" i="56"/>
  <c r="D104" i="56"/>
  <c r="D106" i="56" s="1"/>
  <c r="C116" i="56"/>
  <c r="D114" i="56"/>
  <c r="D116" i="56" s="1"/>
  <c r="D123" i="56" s="1"/>
  <c r="D91" i="56"/>
  <c r="D88" i="56" s="1"/>
  <c r="D95" i="56"/>
  <c r="D110" i="56" s="1"/>
  <c r="D109" i="56" s="1"/>
  <c r="D108" i="56" s="1"/>
  <c r="D52" i="56"/>
  <c r="D59" i="56" s="1"/>
  <c r="D197" i="57"/>
  <c r="D196" i="57"/>
  <c r="D195" i="58"/>
  <c r="D197" i="58"/>
  <c r="D89" i="40"/>
  <c r="D90" i="40" s="1"/>
  <c r="D51" i="40"/>
  <c r="C134" i="40" s="1"/>
  <c r="D134" i="40" s="1"/>
  <c r="D59" i="45"/>
  <c r="D56" i="45"/>
  <c r="D58" i="45"/>
  <c r="D80" i="45"/>
  <c r="D55" i="45"/>
  <c r="D60" i="45"/>
  <c r="D162" i="40"/>
  <c r="D96" i="40"/>
  <c r="C138" i="42"/>
  <c r="D62" i="45"/>
  <c r="D61" i="45"/>
  <c r="D141" i="50"/>
  <c r="D159" i="50" s="1"/>
  <c r="D90" i="50"/>
  <c r="D92" i="50" s="1"/>
  <c r="D95" i="50"/>
  <c r="D110" i="50" s="1"/>
  <c r="D109" i="50" s="1"/>
  <c r="D108" i="50" s="1"/>
  <c r="D91" i="42"/>
  <c r="D88" i="42" s="1"/>
  <c r="D77" i="50"/>
  <c r="D143" i="50" s="1"/>
  <c r="C143" i="50" s="1"/>
  <c r="D143" i="43"/>
  <c r="C143" i="43" s="1"/>
  <c r="D107" i="43"/>
  <c r="D102" i="43" s="1"/>
  <c r="C114" i="40"/>
  <c r="D114" i="40" s="1"/>
  <c r="D105" i="50"/>
  <c r="D157" i="50"/>
  <c r="D102" i="48"/>
  <c r="D135" i="50"/>
  <c r="C115" i="50"/>
  <c r="D115" i="50" s="1"/>
  <c r="D116" i="50" s="1"/>
  <c r="D52" i="50"/>
  <c r="D55" i="50" s="1"/>
  <c r="D142" i="56"/>
  <c r="D164" i="56" s="1"/>
  <c r="D95" i="42"/>
  <c r="D94" i="42" s="1"/>
  <c r="D93" i="42" s="1"/>
  <c r="D82" i="48"/>
  <c r="D142" i="45"/>
  <c r="D164" i="45" s="1"/>
  <c r="D62" i="44"/>
  <c r="C82" i="43"/>
  <c r="D59" i="44"/>
  <c r="D57" i="44"/>
  <c r="D104" i="42"/>
  <c r="D106" i="42" s="1"/>
  <c r="C82" i="48"/>
  <c r="D143" i="48"/>
  <c r="C143" i="48" s="1"/>
  <c r="D98" i="40"/>
  <c r="D50" i="40"/>
  <c r="C133" i="40" s="1"/>
  <c r="D133" i="40" s="1"/>
  <c r="D142" i="43"/>
  <c r="D164" i="43" s="1"/>
  <c r="C82" i="45"/>
  <c r="D123" i="44"/>
  <c r="C45" i="40"/>
  <c r="D57" i="48"/>
  <c r="D202" i="40"/>
  <c r="D140" i="40"/>
  <c r="D158" i="40" s="1"/>
  <c r="D55" i="48"/>
  <c r="D58" i="48"/>
  <c r="D61" i="48"/>
  <c r="D97" i="40"/>
  <c r="D142" i="42"/>
  <c r="D164" i="42" s="1"/>
  <c r="D132" i="40"/>
  <c r="D94" i="44"/>
  <c r="D93" i="44" s="1"/>
  <c r="D62" i="48"/>
  <c r="D137" i="40"/>
  <c r="C138" i="40" s="1"/>
  <c r="D103" i="40"/>
  <c r="D105" i="40" s="1"/>
  <c r="C132" i="40"/>
  <c r="D94" i="45"/>
  <c r="D93" i="45" s="1"/>
  <c r="D142" i="48"/>
  <c r="D164" i="48" s="1"/>
  <c r="D80" i="48"/>
  <c r="D158" i="42"/>
  <c r="D157" i="42"/>
  <c r="D82" i="44"/>
  <c r="D77" i="42"/>
  <c r="D110" i="43"/>
  <c r="D109" i="43" s="1"/>
  <c r="D108" i="43" s="1"/>
  <c r="D107" i="44"/>
  <c r="D102" i="44" s="1"/>
  <c r="D111" i="44" s="1"/>
  <c r="D120" i="44" s="1"/>
  <c r="D60" i="44"/>
  <c r="D55" i="44"/>
  <c r="D80" i="44"/>
  <c r="D61" i="44"/>
  <c r="D143" i="45"/>
  <c r="C143" i="45" s="1"/>
  <c r="D88" i="48"/>
  <c r="D99" i="48" s="1"/>
  <c r="D119" i="48" s="1"/>
  <c r="D56" i="43"/>
  <c r="D110" i="48"/>
  <c r="D109" i="48" s="1"/>
  <c r="D108" i="48" s="1"/>
  <c r="D107" i="45"/>
  <c r="D102" i="45" s="1"/>
  <c r="D111" i="45" s="1"/>
  <c r="D120" i="45" s="1"/>
  <c r="C82" i="44"/>
  <c r="D88" i="45"/>
  <c r="D56" i="44"/>
  <c r="D55" i="43"/>
  <c r="D58" i="43"/>
  <c r="C133" i="42"/>
  <c r="D133" i="42" s="1"/>
  <c r="D135" i="42" s="1"/>
  <c r="D52" i="42"/>
  <c r="C115" i="42"/>
  <c r="D115" i="42" s="1"/>
  <c r="D61" i="43"/>
  <c r="D114" i="42"/>
  <c r="D62" i="43"/>
  <c r="D59" i="43"/>
  <c r="D123" i="43"/>
  <c r="D123" i="48"/>
  <c r="D59" i="48"/>
  <c r="D60" i="48"/>
  <c r="D88" i="43"/>
  <c r="D99" i="43" s="1"/>
  <c r="D119" i="43" s="1"/>
  <c r="D57" i="43"/>
  <c r="D80" i="43"/>
  <c r="D106" i="50"/>
  <c r="D88" i="44"/>
  <c r="C82" i="56"/>
  <c r="D143" i="56"/>
  <c r="C143" i="56" s="1"/>
  <c r="D107" i="56"/>
  <c r="D123" i="45"/>
  <c r="D91" i="40" l="1"/>
  <c r="D58" i="56"/>
  <c r="D57" i="56"/>
  <c r="D60" i="56"/>
  <c r="D56" i="56"/>
  <c r="D62" i="56"/>
  <c r="D125" i="56"/>
  <c r="D61" i="56"/>
  <c r="D55" i="56"/>
  <c r="D94" i="56"/>
  <c r="D93" i="56" s="1"/>
  <c r="D99" i="56" s="1"/>
  <c r="D119" i="56" s="1"/>
  <c r="D80" i="56"/>
  <c r="D102" i="56"/>
  <c r="D111" i="56" s="1"/>
  <c r="D120" i="56" s="1"/>
  <c r="D198" i="57"/>
  <c r="D199" i="57" s="1"/>
  <c r="D209" i="57" s="1"/>
  <c r="D210" i="57" s="1"/>
  <c r="C215" i="57" s="1"/>
  <c r="D215" i="57" s="1"/>
  <c r="H15" i="38" s="1"/>
  <c r="D198" i="58"/>
  <c r="D199" i="58" s="1"/>
  <c r="D209" i="58" s="1"/>
  <c r="D210" i="58" s="1"/>
  <c r="C215" i="58" s="1"/>
  <c r="D215" i="58" s="1"/>
  <c r="E17" i="38" s="1"/>
  <c r="D58" i="50"/>
  <c r="D63" i="45"/>
  <c r="D81" i="45" s="1"/>
  <c r="D83" i="45" s="1"/>
  <c r="D204" i="45" s="1"/>
  <c r="D163" i="45"/>
  <c r="D165" i="45" s="1"/>
  <c r="C165" i="45" s="1"/>
  <c r="D77" i="40"/>
  <c r="D143" i="40" s="1"/>
  <c r="C143" i="40" s="1"/>
  <c r="D142" i="50"/>
  <c r="D164" i="50" s="1"/>
  <c r="D62" i="50"/>
  <c r="D57" i="50"/>
  <c r="D59" i="50"/>
  <c r="D99" i="42"/>
  <c r="D119" i="42" s="1"/>
  <c r="D88" i="50"/>
  <c r="D157" i="40"/>
  <c r="D94" i="50"/>
  <c r="D93" i="50" s="1"/>
  <c r="C115" i="40"/>
  <c r="D115" i="40" s="1"/>
  <c r="D116" i="40" s="1"/>
  <c r="D125" i="40" s="1"/>
  <c r="D82" i="50"/>
  <c r="D107" i="50"/>
  <c r="D102" i="50" s="1"/>
  <c r="D111" i="50" s="1"/>
  <c r="D120" i="50" s="1"/>
  <c r="C116" i="50"/>
  <c r="D111" i="43"/>
  <c r="D120" i="43" s="1"/>
  <c r="D121" i="43" s="1"/>
  <c r="D122" i="43" s="1"/>
  <c r="D124" i="43" s="1"/>
  <c r="D144" i="43" s="1"/>
  <c r="D145" i="43" s="1"/>
  <c r="D150" i="43" s="1"/>
  <c r="C82" i="50"/>
  <c r="D123" i="50"/>
  <c r="D125" i="50"/>
  <c r="D60" i="50"/>
  <c r="D61" i="50"/>
  <c r="D80" i="50"/>
  <c r="D110" i="42"/>
  <c r="D109" i="42" s="1"/>
  <c r="D108" i="42" s="1"/>
  <c r="D111" i="48"/>
  <c r="D120" i="48" s="1"/>
  <c r="D121" i="48" s="1"/>
  <c r="D122" i="48" s="1"/>
  <c r="D124" i="48" s="1"/>
  <c r="D56" i="50"/>
  <c r="D52" i="40"/>
  <c r="D141" i="40"/>
  <c r="D159" i="40" s="1"/>
  <c r="D135" i="40"/>
  <c r="D92" i="40"/>
  <c r="D88" i="40" s="1"/>
  <c r="D99" i="44"/>
  <c r="D119" i="44" s="1"/>
  <c r="D121" i="44" s="1"/>
  <c r="D122" i="44" s="1"/>
  <c r="D124" i="44" s="1"/>
  <c r="D144" i="44" s="1"/>
  <c r="D95" i="40"/>
  <c r="D110" i="40" s="1"/>
  <c r="D109" i="40" s="1"/>
  <c r="D108" i="40" s="1"/>
  <c r="D63" i="44"/>
  <c r="D81" i="44" s="1"/>
  <c r="D83" i="44" s="1"/>
  <c r="D204" i="44" s="1"/>
  <c r="D99" i="45"/>
  <c r="D119" i="45" s="1"/>
  <c r="D121" i="45" s="1"/>
  <c r="D122" i="45" s="1"/>
  <c r="D124" i="45" s="1"/>
  <c r="C136" i="45" s="1"/>
  <c r="D136" i="45" s="1"/>
  <c r="D131" i="45" s="1"/>
  <c r="D138" i="45" s="1"/>
  <c r="D170" i="45" s="1"/>
  <c r="D163" i="44"/>
  <c r="D165" i="44" s="1"/>
  <c r="C165" i="44" s="1"/>
  <c r="D104" i="40"/>
  <c r="D106" i="40" s="1"/>
  <c r="D107" i="42"/>
  <c r="D102" i="42" s="1"/>
  <c r="D82" i="42"/>
  <c r="D143" i="42"/>
  <c r="C143" i="42" s="1"/>
  <c r="C82" i="42"/>
  <c r="D63" i="48"/>
  <c r="D81" i="48" s="1"/>
  <c r="D83" i="48" s="1"/>
  <c r="D204" i="48" s="1"/>
  <c r="C116" i="42"/>
  <c r="D63" i="43"/>
  <c r="D81" i="43" s="1"/>
  <c r="D83" i="43" s="1"/>
  <c r="D204" i="43" s="1"/>
  <c r="D116" i="42"/>
  <c r="D60" i="42"/>
  <c r="D57" i="42"/>
  <c r="D56" i="42"/>
  <c r="D55" i="42"/>
  <c r="D62" i="42"/>
  <c r="D59" i="42"/>
  <c r="D80" i="42"/>
  <c r="D58" i="42"/>
  <c r="D61" i="42"/>
  <c r="D163" i="48"/>
  <c r="D165" i="48" s="1"/>
  <c r="C165" i="48" s="1"/>
  <c r="D163" i="43"/>
  <c r="D165" i="43" s="1"/>
  <c r="C165" i="43" s="1"/>
  <c r="D63" i="56" l="1"/>
  <c r="D81" i="56" s="1"/>
  <c r="D83" i="56" s="1"/>
  <c r="D204" i="56" s="1"/>
  <c r="D163" i="56"/>
  <c r="D165" i="56" s="1"/>
  <c r="C165" i="56" s="1"/>
  <c r="D121" i="56"/>
  <c r="D122" i="56" s="1"/>
  <c r="D124" i="56" s="1"/>
  <c r="C136" i="56" s="1"/>
  <c r="D136" i="56" s="1"/>
  <c r="D131" i="56" s="1"/>
  <c r="D138" i="56" s="1"/>
  <c r="D170" i="56" s="1"/>
  <c r="D57" i="40"/>
  <c r="D55" i="40"/>
  <c r="D82" i="40"/>
  <c r="C82" i="40"/>
  <c r="D107" i="40"/>
  <c r="D102" i="40" s="1"/>
  <c r="D111" i="40" s="1"/>
  <c r="D120" i="40" s="1"/>
  <c r="C116" i="40"/>
  <c r="D94" i="40"/>
  <c r="D93" i="40" s="1"/>
  <c r="D99" i="50"/>
  <c r="D119" i="50" s="1"/>
  <c r="D121" i="50" s="1"/>
  <c r="D122" i="50" s="1"/>
  <c r="D124" i="50" s="1"/>
  <c r="D144" i="50" s="1"/>
  <c r="D145" i="50" s="1"/>
  <c r="D123" i="40"/>
  <c r="D163" i="50"/>
  <c r="D165" i="50" s="1"/>
  <c r="C165" i="50" s="1"/>
  <c r="D60" i="40"/>
  <c r="C136" i="44"/>
  <c r="D136" i="44" s="1"/>
  <c r="D131" i="44" s="1"/>
  <c r="D138" i="44" s="1"/>
  <c r="D170" i="44" s="1"/>
  <c r="D63" i="50"/>
  <c r="D81" i="50" s="1"/>
  <c r="D83" i="50" s="1"/>
  <c r="D204" i="50" s="1"/>
  <c r="D80" i="40"/>
  <c r="D58" i="40"/>
  <c r="D111" i="42"/>
  <c r="D120" i="42" s="1"/>
  <c r="D121" i="42" s="1"/>
  <c r="D122" i="42" s="1"/>
  <c r="D56" i="40"/>
  <c r="D142" i="40"/>
  <c r="D164" i="40" s="1"/>
  <c r="D62" i="40"/>
  <c r="D59" i="40"/>
  <c r="D61" i="40"/>
  <c r="D126" i="43"/>
  <c r="D205" i="43" s="1"/>
  <c r="C136" i="48"/>
  <c r="D136" i="48" s="1"/>
  <c r="D131" i="48" s="1"/>
  <c r="D138" i="48" s="1"/>
  <c r="D170" i="48" s="1"/>
  <c r="D144" i="48"/>
  <c r="C144" i="48" s="1"/>
  <c r="C144" i="43"/>
  <c r="D126" i="44"/>
  <c r="D205" i="44" s="1"/>
  <c r="C136" i="43"/>
  <c r="D136" i="43" s="1"/>
  <c r="D131" i="43" s="1"/>
  <c r="D138" i="43" s="1"/>
  <c r="D170" i="43" s="1"/>
  <c r="D126" i="48"/>
  <c r="D205" i="48" s="1"/>
  <c r="D125" i="42"/>
  <c r="D123" i="42"/>
  <c r="D63" i="42"/>
  <c r="D81" i="42" s="1"/>
  <c r="D83" i="42" s="1"/>
  <c r="D203" i="42" s="1"/>
  <c r="D163" i="42"/>
  <c r="D165" i="42" s="1"/>
  <c r="C165" i="42" s="1"/>
  <c r="D151" i="43"/>
  <c r="D148" i="43"/>
  <c r="D152" i="43"/>
  <c r="D144" i="45"/>
  <c r="C144" i="45" s="1"/>
  <c r="D126" i="45"/>
  <c r="D205" i="45" s="1"/>
  <c r="C144" i="44"/>
  <c r="D145" i="44"/>
  <c r="C145" i="43"/>
  <c r="D149" i="43"/>
  <c r="D153" i="43"/>
  <c r="D126" i="56" l="1"/>
  <c r="D205" i="56" s="1"/>
  <c r="D144" i="56"/>
  <c r="D145" i="56" s="1"/>
  <c r="C145" i="56" s="1"/>
  <c r="D124" i="42"/>
  <c r="D126" i="42" s="1"/>
  <c r="D204" i="42" s="1"/>
  <c r="D99" i="40"/>
  <c r="D119" i="40" s="1"/>
  <c r="D121" i="40" s="1"/>
  <c r="D122" i="40" s="1"/>
  <c r="D124" i="40" s="1"/>
  <c r="D126" i="40" s="1"/>
  <c r="D204" i="40" s="1"/>
  <c r="C136" i="50"/>
  <c r="D136" i="50" s="1"/>
  <c r="D131" i="50" s="1"/>
  <c r="D138" i="50" s="1"/>
  <c r="D170" i="50" s="1"/>
  <c r="D126" i="50"/>
  <c r="D205" i="50" s="1"/>
  <c r="D63" i="40"/>
  <c r="D81" i="40" s="1"/>
  <c r="D83" i="40" s="1"/>
  <c r="D203" i="40" s="1"/>
  <c r="D163" i="40"/>
  <c r="D165" i="40" s="1"/>
  <c r="C165" i="40" s="1"/>
  <c r="C144" i="50"/>
  <c r="D145" i="48"/>
  <c r="D153" i="48" s="1"/>
  <c r="D145" i="45"/>
  <c r="D150" i="45" s="1"/>
  <c r="C145" i="44"/>
  <c r="D152" i="44"/>
  <c r="D148" i="44"/>
  <c r="D153" i="44"/>
  <c r="D150" i="44"/>
  <c r="D149" i="44"/>
  <c r="D151" i="44"/>
  <c r="D154" i="43"/>
  <c r="D167" i="43" s="1"/>
  <c r="D171" i="43" s="1"/>
  <c r="D172" i="43" s="1"/>
  <c r="D149" i="50"/>
  <c r="C145" i="50"/>
  <c r="D153" i="50"/>
  <c r="D151" i="50"/>
  <c r="D150" i="50"/>
  <c r="D148" i="50"/>
  <c r="D152" i="50"/>
  <c r="D149" i="56" l="1"/>
  <c r="D148" i="56"/>
  <c r="D152" i="56"/>
  <c r="D153" i="56"/>
  <c r="D150" i="56"/>
  <c r="D151" i="56"/>
  <c r="C144" i="56"/>
  <c r="C136" i="40"/>
  <c r="D136" i="40" s="1"/>
  <c r="D131" i="40" s="1"/>
  <c r="D138" i="40" s="1"/>
  <c r="D170" i="40" s="1"/>
  <c r="D144" i="40"/>
  <c r="D145" i="40" s="1"/>
  <c r="D151" i="40" s="1"/>
  <c r="D152" i="48"/>
  <c r="D151" i="48"/>
  <c r="D148" i="48"/>
  <c r="C145" i="48"/>
  <c r="D149" i="48"/>
  <c r="C136" i="42"/>
  <c r="D136" i="42" s="1"/>
  <c r="D131" i="42" s="1"/>
  <c r="D138" i="42" s="1"/>
  <c r="D170" i="42" s="1"/>
  <c r="D144" i="42"/>
  <c r="C144" i="42" s="1"/>
  <c r="D150" i="48"/>
  <c r="D153" i="45"/>
  <c r="D149" i="45"/>
  <c r="C145" i="45"/>
  <c r="C167" i="43"/>
  <c r="D152" i="45"/>
  <c r="D148" i="45"/>
  <c r="D151" i="45"/>
  <c r="D154" i="44"/>
  <c r="D167" i="44" s="1"/>
  <c r="D154" i="50"/>
  <c r="D167" i="50" s="1"/>
  <c r="D206" i="43"/>
  <c r="D208" i="43" s="1"/>
  <c r="D185" i="43"/>
  <c r="D154" i="56" l="1"/>
  <c r="D167" i="56" s="1"/>
  <c r="D171" i="56" s="1"/>
  <c r="D172" i="56" s="1"/>
  <c r="D153" i="40"/>
  <c r="C144" i="40"/>
  <c r="D152" i="40"/>
  <c r="C145" i="40"/>
  <c r="D150" i="40"/>
  <c r="D148" i="40"/>
  <c r="D149" i="40"/>
  <c r="D145" i="42"/>
  <c r="D149" i="42" s="1"/>
  <c r="D154" i="48"/>
  <c r="D167" i="48" s="1"/>
  <c r="D171" i="48" s="1"/>
  <c r="D172" i="48" s="1"/>
  <c r="D206" i="48" s="1"/>
  <c r="D208" i="48" s="1"/>
  <c r="D154" i="45"/>
  <c r="D167" i="45" s="1"/>
  <c r="C167" i="45" s="1"/>
  <c r="C167" i="44"/>
  <c r="D171" i="44"/>
  <c r="D172" i="44" s="1"/>
  <c r="D171" i="50"/>
  <c r="D172" i="50" s="1"/>
  <c r="C167" i="50"/>
  <c r="D190" i="43"/>
  <c r="D191" i="43" s="1"/>
  <c r="D192" i="43" s="1"/>
  <c r="D193" i="43" s="1"/>
  <c r="C167" i="56" l="1"/>
  <c r="D154" i="40"/>
  <c r="D167" i="40" s="1"/>
  <c r="C167" i="40" s="1"/>
  <c r="D153" i="42"/>
  <c r="D150" i="42"/>
  <c r="C145" i="42"/>
  <c r="D151" i="42"/>
  <c r="D148" i="42"/>
  <c r="D152" i="42"/>
  <c r="C167" i="48"/>
  <c r="D185" i="48"/>
  <c r="D190" i="48" s="1"/>
  <c r="D191" i="48" s="1"/>
  <c r="D192" i="48" s="1"/>
  <c r="D193" i="48" s="1"/>
  <c r="D196" i="48" s="1"/>
  <c r="D171" i="45"/>
  <c r="D172" i="45" s="1"/>
  <c r="D206" i="45" s="1"/>
  <c r="D208" i="45" s="1"/>
  <c r="D206" i="56"/>
  <c r="D208" i="56" s="1"/>
  <c r="D185" i="56"/>
  <c r="D190" i="56" s="1"/>
  <c r="D191" i="56" s="1"/>
  <c r="D192" i="56" s="1"/>
  <c r="D193" i="56" s="1"/>
  <c r="D206" i="44"/>
  <c r="D208" i="44" s="1"/>
  <c r="D185" i="44"/>
  <c r="D190" i="44" s="1"/>
  <c r="D191" i="44" s="1"/>
  <c r="D192" i="44" s="1"/>
  <c r="D193" i="44" s="1"/>
  <c r="D206" i="50"/>
  <c r="D208" i="50" s="1"/>
  <c r="D185" i="50"/>
  <c r="D196" i="43"/>
  <c r="D197" i="43"/>
  <c r="D195" i="43"/>
  <c r="D171" i="40" l="1"/>
  <c r="D172" i="40" s="1"/>
  <c r="D205" i="40" s="1"/>
  <c r="D154" i="42"/>
  <c r="D167" i="42" s="1"/>
  <c r="D171" i="42" s="1"/>
  <c r="D172" i="42" s="1"/>
  <c r="D184" i="42" s="1"/>
  <c r="D189" i="42" s="1"/>
  <c r="D190" i="42" s="1"/>
  <c r="D191" i="42" s="1"/>
  <c r="D192" i="42" s="1"/>
  <c r="D197" i="48"/>
  <c r="D195" i="48"/>
  <c r="D185" i="45"/>
  <c r="D190" i="45" s="1"/>
  <c r="D191" i="45" s="1"/>
  <c r="D192" i="45" s="1"/>
  <c r="D193" i="45" s="1"/>
  <c r="D195" i="45" s="1"/>
  <c r="D197" i="56"/>
  <c r="D196" i="56"/>
  <c r="D195" i="56"/>
  <c r="D195" i="44"/>
  <c r="D197" i="44"/>
  <c r="D196" i="44"/>
  <c r="D198" i="43"/>
  <c r="D199" i="43" s="1"/>
  <c r="D209" i="43" s="1"/>
  <c r="D210" i="43" s="1"/>
  <c r="E7" i="38" s="1"/>
  <c r="H7" i="38" s="1"/>
  <c r="D190" i="50"/>
  <c r="D191" i="50" s="1"/>
  <c r="D192" i="50" s="1"/>
  <c r="D193" i="50" s="1"/>
  <c r="D205" i="42" l="1"/>
  <c r="D207" i="42" s="1"/>
  <c r="C167" i="42"/>
  <c r="D198" i="48"/>
  <c r="D199" i="48" s="1"/>
  <c r="D209" i="48" s="1"/>
  <c r="D210" i="48" s="1"/>
  <c r="D196" i="45"/>
  <c r="D197" i="45"/>
  <c r="D195" i="42"/>
  <c r="D194" i="42"/>
  <c r="D196" i="42"/>
  <c r="D198" i="56"/>
  <c r="D199" i="56" s="1"/>
  <c r="D209" i="56" s="1"/>
  <c r="D210" i="56" s="1"/>
  <c r="D198" i="44"/>
  <c r="D199" i="44" s="1"/>
  <c r="D209" i="44" s="1"/>
  <c r="D210" i="44" s="1"/>
  <c r="D195" i="50"/>
  <c r="D197" i="50"/>
  <c r="D196" i="50"/>
  <c r="C215" i="56" l="1"/>
  <c r="D215" i="56" s="1"/>
  <c r="H14" i="38" s="1"/>
  <c r="J14" i="38" s="1"/>
  <c r="J15" i="38"/>
  <c r="C215" i="48"/>
  <c r="D215" i="48" s="1"/>
  <c r="E6" i="38" s="1"/>
  <c r="H6" i="38" s="1"/>
  <c r="J7" i="38"/>
  <c r="E8" i="38"/>
  <c r="H8" i="38" s="1"/>
  <c r="J8" i="38" s="1"/>
  <c r="D198" i="45"/>
  <c r="D199" i="45" s="1"/>
  <c r="D209" i="45" s="1"/>
  <c r="D197" i="42"/>
  <c r="D198" i="42" s="1"/>
  <c r="D208" i="42" s="1"/>
  <c r="D209" i="42" s="1"/>
  <c r="D198" i="50"/>
  <c r="D199" i="50" s="1"/>
  <c r="D209" i="50" s="1"/>
  <c r="D210" i="50" s="1"/>
  <c r="D182" i="40"/>
  <c r="D206" i="40" s="1"/>
  <c r="D207" i="40" s="1"/>
  <c r="H17" i="38" l="1"/>
  <c r="J17" i="38" s="1"/>
  <c r="C215" i="50"/>
  <c r="D215" i="50" s="1"/>
  <c r="D210" i="45"/>
  <c r="C215" i="45" s="1"/>
  <c r="D215" i="45" s="1"/>
  <c r="E10" i="38" s="1"/>
  <c r="H10" i="38" s="1"/>
  <c r="J10" i="38" s="1"/>
  <c r="H13" i="38"/>
  <c r="J13" i="38" s="1"/>
  <c r="C214" i="42"/>
  <c r="D214" i="42" s="1"/>
  <c r="D184" i="40"/>
  <c r="D189" i="40" s="1"/>
  <c r="D190" i="40" s="1"/>
  <c r="D191" i="40" s="1"/>
  <c r="D192" i="40" s="1"/>
  <c r="D196" i="40" s="1"/>
  <c r="E11" i="38" l="1"/>
  <c r="H11" i="38" s="1"/>
  <c r="J11" i="38" s="1"/>
  <c r="J6" i="38"/>
  <c r="H9" i="38"/>
  <c r="J9" i="38" s="1"/>
  <c r="D194" i="40"/>
  <c r="D195" i="40"/>
  <c r="D197" i="40" l="1"/>
  <c r="D198" i="40" s="1"/>
  <c r="D208" i="40" s="1"/>
  <c r="D209" i="40" s="1"/>
  <c r="C214" i="40" l="1"/>
  <c r="D214" i="40" l="1"/>
  <c r="C16" i="35"/>
  <c r="D16" i="35" s="1"/>
  <c r="E5" i="38" l="1"/>
  <c r="H5" i="38" s="1"/>
  <c r="H19" i="38" s="1"/>
  <c r="E16" i="35"/>
  <c r="F16" i="35"/>
  <c r="C12" i="35"/>
  <c r="D12" i="35" s="1"/>
  <c r="C9" i="35"/>
  <c r="D9" i="35" s="1"/>
  <c r="C18" i="35"/>
  <c r="D18" i="35" s="1"/>
  <c r="C10" i="35"/>
  <c r="D10" i="35" s="1"/>
  <c r="C17" i="35"/>
  <c r="D17" i="35" s="1"/>
  <c r="C15" i="35"/>
  <c r="D15" i="35" s="1"/>
  <c r="C11" i="35"/>
  <c r="D11" i="35" s="1"/>
  <c r="C6" i="35"/>
  <c r="D6" i="35" s="1"/>
  <c r="J5" i="38" l="1"/>
  <c r="J21" i="38" s="1"/>
  <c r="J22" i="38" s="1"/>
  <c r="C13" i="35"/>
  <c r="D13" i="35" s="1"/>
  <c r="F13" i="35" s="1"/>
  <c r="F11" i="35"/>
  <c r="E11" i="35"/>
  <c r="F9" i="35"/>
  <c r="E9" i="35"/>
  <c r="F15" i="35"/>
  <c r="E15" i="35"/>
  <c r="F10" i="35"/>
  <c r="E10" i="35"/>
  <c r="E6" i="35"/>
  <c r="F6" i="35"/>
  <c r="E17" i="35"/>
  <c r="F17" i="35"/>
  <c r="F18" i="35"/>
  <c r="E18" i="35"/>
  <c r="F12" i="35"/>
  <c r="E12" i="35"/>
  <c r="C7" i="35"/>
  <c r="D7" i="35" s="1"/>
  <c r="E13" i="35" l="1"/>
  <c r="F7" i="35"/>
  <c r="E7" i="35"/>
  <c r="C14" i="35"/>
  <c r="D14" i="35" s="1"/>
  <c r="F14" i="35" l="1"/>
  <c r="E14" i="35"/>
  <c r="C3" i="35" l="1"/>
  <c r="D3" i="35" s="1"/>
  <c r="F3" i="35" s="1"/>
  <c r="C8" i="35"/>
  <c r="D8" i="35" s="1"/>
  <c r="C4" i="35"/>
  <c r="D4" i="35" s="1"/>
  <c r="E3" i="35" l="1"/>
  <c r="F4" i="35"/>
  <c r="E4" i="35"/>
  <c r="F8" i="35"/>
  <c r="E8" i="35"/>
  <c r="C5" i="35"/>
  <c r="D5" i="35" s="1"/>
  <c r="F5" i="35" l="1"/>
  <c r="E5" i="3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LUAN LUCIO DA SILVA</author>
  </authors>
  <commentList>
    <comment ref="G24" authorId="0" shapeId="0" xr:uid="{336E6926-7B24-4CB0-A0B2-3144D3528909}">
      <text>
        <r>
          <rPr>
            <b/>
            <sz val="9"/>
            <color indexed="81"/>
            <rFont val="Segoe UI"/>
            <family val="2"/>
          </rPr>
          <t>depreciação total = 10 anos (artigo 305 do RIR/99) = 120 meses</t>
        </r>
      </text>
    </comment>
    <comment ref="G25" authorId="0" shapeId="0" xr:uid="{87ADE4C9-D65E-4266-BA35-CDAEFE30FA3C}">
      <text>
        <r>
          <rPr>
            <b/>
            <sz val="9"/>
            <color indexed="81"/>
            <rFont val="Segoe UI"/>
            <family val="2"/>
          </rPr>
          <t>depreciação total = 10 anos (artigo 305 do RIR/99) = 120 meses</t>
        </r>
      </text>
    </comment>
    <comment ref="G26" authorId="0" shapeId="0" xr:uid="{4FA26718-ACF2-4579-9288-510E35447C99}">
      <text>
        <r>
          <rPr>
            <b/>
            <sz val="9"/>
            <color indexed="81"/>
            <rFont val="Segoe UI"/>
            <family val="2"/>
          </rPr>
          <t>depreciação total = 10 anos (artigo 305 do RIR/99) = 120 meses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Luan Lucio da Silva</author>
  </authors>
  <commentList>
    <comment ref="B85" authorId="0" shapeId="0" xr:uid="{4F7F5329-E7F5-45D4-89F3-2D0C05CB6645}">
      <text>
        <r>
          <rPr>
            <b/>
            <sz val="9"/>
            <color indexed="81"/>
            <rFont val="Segoe UI"/>
            <family val="2"/>
          </rPr>
          <t>Drastic Limpador Tira Manchas 700ml - ideal para retirada de manchas e encardidos em porcelanas sanitárias, como vasos sanitários e mictórios, mesmo sob a água. Sua ação desinfetante elimina bactérias e odores desagradáveis.
Brand: Diversey
Dilui&amp;#231;&amp;#227;o: Pronto uso
Limpeza Indicada: Limpeza de Pisos
Produto: Limpa Porcelanato
Tipo de Limpeza: Remoção de Manchas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<sst xmlns="http://schemas.openxmlformats.org/spreadsheetml/2006/main" count="7398" uniqueCount="557">
  <si>
    <t>Quantidade</t>
  </si>
  <si>
    <t>Subtotal</t>
  </si>
  <si>
    <t>Data base da categoria (dia/mês/ano)</t>
  </si>
  <si>
    <t>Salário Normativo da Categoria Profissional</t>
  </si>
  <si>
    <t>Município/UF</t>
  </si>
  <si>
    <t>Data de apresentação da proposta (dia/mês/ano)</t>
  </si>
  <si>
    <t>PLANILHA DE CUSTOS E FORMAÇÃO DE PREÇOS</t>
  </si>
  <si>
    <t>Discriminação dos Materiais</t>
  </si>
  <si>
    <t>Valor Total</t>
  </si>
  <si>
    <t>Durabilidade (meses)</t>
  </si>
  <si>
    <t>Depreciação mensal</t>
  </si>
  <si>
    <t>Total</t>
  </si>
  <si>
    <t xml:space="preserve">Nº Processo </t>
  </si>
  <si>
    <t xml:space="preserve">Licitação </t>
  </si>
  <si>
    <t>Discriminação dos Serviços (dados referentes à contratação)</t>
  </si>
  <si>
    <t xml:space="preserve">A </t>
  </si>
  <si>
    <t>B</t>
  </si>
  <si>
    <t>C</t>
  </si>
  <si>
    <t>Ano Acordo, Convenção ou Sentença Normativa em Dissídio Coletivo</t>
  </si>
  <si>
    <t>D</t>
  </si>
  <si>
    <t>Tipo de serviço</t>
  </si>
  <si>
    <t>Continuado</t>
  </si>
  <si>
    <t>E</t>
  </si>
  <si>
    <t>Unidade de medida</t>
  </si>
  <si>
    <t>F</t>
  </si>
  <si>
    <t>G</t>
  </si>
  <si>
    <t>Nº de meses de execução contratual</t>
  </si>
  <si>
    <t>Mão-de-obra</t>
  </si>
  <si>
    <t>Módulo de Mão-de-obra vinculada à execução contratual Unidade de medida - tipos e quantidades</t>
  </si>
  <si>
    <t>Tipo de serviço (mesmo serviço com características distintas)</t>
  </si>
  <si>
    <t>Classificação Brasileira de Ocupações</t>
  </si>
  <si>
    <t>Dados complementares para composição dos custos referente à mão-de-obra</t>
  </si>
  <si>
    <t>Categoria profissional (vinculada à execução contratual)</t>
  </si>
  <si>
    <t>MÓDULO 1: COMPOSIÇÃO DA REMUNERAÇÃO</t>
  </si>
  <si>
    <t>Composição da remuneração</t>
  </si>
  <si>
    <t>Valor (R$)</t>
  </si>
  <si>
    <t>A</t>
  </si>
  <si>
    <t>Adicional de periculosidade</t>
  </si>
  <si>
    <t>Adicional de insalubridade</t>
  </si>
  <si>
    <t>Outros (especificar)</t>
  </si>
  <si>
    <t>Total da Remuneração</t>
  </si>
  <si>
    <t>MÓDULO 2: ENCARGOS E BENEFÍCIOS ANUAIS, MENSAIS E DIÁRIOS</t>
  </si>
  <si>
    <t xml:space="preserve">2.1 </t>
  </si>
  <si>
    <t>13º (décimo terceiro) Salário, Férias e Adicional de Férias</t>
  </si>
  <si>
    <t>%</t>
  </si>
  <si>
    <t>13º (décimo terceiro) Salário</t>
  </si>
  <si>
    <t>2.2</t>
  </si>
  <si>
    <t>GPS, FGTS e outras contribuições</t>
  </si>
  <si>
    <t>INSS</t>
  </si>
  <si>
    <t>Salário Educação</t>
  </si>
  <si>
    <t>SEBRAE</t>
  </si>
  <si>
    <t>INCRA</t>
  </si>
  <si>
    <t>H</t>
  </si>
  <si>
    <t>FGTS</t>
  </si>
  <si>
    <t xml:space="preserve">2.3 </t>
  </si>
  <si>
    <t>Benefícios Mensais e Diários</t>
  </si>
  <si>
    <t>Valor unitário</t>
  </si>
  <si>
    <t>Transporte</t>
  </si>
  <si>
    <t>Auxílio-Refeição/Alimentação</t>
  </si>
  <si>
    <t>Total de Encargos e Benefícios</t>
  </si>
  <si>
    <t>Quadro-Resumo - Módulo 2 - Encargos e Benefícios Anuais, Mensais e Diários</t>
  </si>
  <si>
    <t>2.1</t>
  </si>
  <si>
    <t>2.3</t>
  </si>
  <si>
    <t>Incidência dos encargos do submódulo 2.2 sobre o Aviso Prévio Trabalhado</t>
  </si>
  <si>
    <t>MÓDULO 4 - CUSTO DE REPOSIÇÃO DO PROFISSIONAL AUSENTE</t>
  </si>
  <si>
    <t>4.1</t>
  </si>
  <si>
    <t>Substituto - Cobertura Férias</t>
  </si>
  <si>
    <t>Substituto - Cobertura Licença-Paternidade</t>
  </si>
  <si>
    <t>Substituto - Cobertura Afastamento Maternidade</t>
  </si>
  <si>
    <t>MÓDULO 5 - INSUMOS DIVERSOS</t>
  </si>
  <si>
    <t>TOTAL PARCIAL: MÓDULO 1 + 2 + 3 + 4+ 5</t>
  </si>
  <si>
    <t>MÓDULO 6 - CUSTOS DIRETOS, TRIBUTOS E LUCRO</t>
  </si>
  <si>
    <t>Custos Indiretos, Tributos e Lucro</t>
  </si>
  <si>
    <t>Custos Indiretos</t>
  </si>
  <si>
    <t>Lucro</t>
  </si>
  <si>
    <t>Tributos</t>
  </si>
  <si>
    <t>PIS</t>
  </si>
  <si>
    <t>COFINS</t>
  </si>
  <si>
    <t>Total de Tributos</t>
  </si>
  <si>
    <t>QUADRO-RESUMO DO CUSTO MENSAL POR EMPREGADO</t>
  </si>
  <si>
    <t xml:space="preserve">Mão de obra vinculada à execução contratual </t>
  </si>
  <si>
    <t>Módulo 1 - Composição da Remuneração</t>
  </si>
  <si>
    <t>Módulo 2 - Encargos e Benefícios Anuais, Mensais e Diários</t>
  </si>
  <si>
    <t>Módulo 3 - Provisão para Rescisão</t>
  </si>
  <si>
    <t>Módulo 4 - Custo de Reposição do Profissional Ausente</t>
  </si>
  <si>
    <t>Módulo 5 - Insumos Diversos</t>
  </si>
  <si>
    <t>Subtotal (A + B +C+ D+E)</t>
  </si>
  <si>
    <t xml:space="preserve">F </t>
  </si>
  <si>
    <t>Módulo 6 – Custos Indiretos, Tributos e Lucro</t>
  </si>
  <si>
    <t>Valor Total Mensal por Empregado</t>
  </si>
  <si>
    <t>B1</t>
  </si>
  <si>
    <t>Desconto empregado</t>
  </si>
  <si>
    <t>VALOR TOTAL</t>
  </si>
  <si>
    <t>TOTAL</t>
  </si>
  <si>
    <t>SR Auxiliar de Escritório</t>
  </si>
  <si>
    <t>SR Encarregado</t>
  </si>
  <si>
    <t>SR Motorista</t>
  </si>
  <si>
    <t>ITAJAÍ Motorista</t>
  </si>
  <si>
    <t>ITAJAÍ Lider</t>
  </si>
  <si>
    <t>ITAJAÍ Auxiliar de Escritório</t>
  </si>
  <si>
    <t>JOINVILLE Auxiliar de Escritório</t>
  </si>
  <si>
    <t>JOINVILLE Lider</t>
  </si>
  <si>
    <t>CRICIÚMA Auxiliar de Escritório</t>
  </si>
  <si>
    <t>CRICIÚMA Lider</t>
  </si>
  <si>
    <t>LAGES Auxiliar de Escritório</t>
  </si>
  <si>
    <t>LAGES Lider</t>
  </si>
  <si>
    <t>CHAPECÓ Auxiliar de Escritório</t>
  </si>
  <si>
    <t>CHAPECÓ Lider</t>
  </si>
  <si>
    <t>DIONÍSIO CERQ. Auxiliar de Escritório</t>
  </si>
  <si>
    <t>DIONÍSIO CERQ. Lider</t>
  </si>
  <si>
    <t>A1</t>
  </si>
  <si>
    <t>D1</t>
  </si>
  <si>
    <t>D2</t>
  </si>
  <si>
    <t>Adicional de Férias</t>
  </si>
  <si>
    <t>A2</t>
  </si>
  <si>
    <t>B2</t>
  </si>
  <si>
    <t>Montante dos depósitos realizado nos meses de serviços prestados</t>
  </si>
  <si>
    <t>Substituto - Cobertura Ausências Legais</t>
  </si>
  <si>
    <t>Substituto - Cobertura ausência por doenças</t>
  </si>
  <si>
    <t>Substituto - Cobertura Acidente de trabalho</t>
  </si>
  <si>
    <t>Valor Un.</t>
  </si>
  <si>
    <t>MÓDULO 5  - COMPOSIÇÃO VALOR MENSAL</t>
  </si>
  <si>
    <t>A - UNIFORMES</t>
  </si>
  <si>
    <t>Ponto biométrico com impressora</t>
  </si>
  <si>
    <t>Nº de funcionários (uso do equip.) por localidade</t>
  </si>
  <si>
    <t>SR</t>
  </si>
  <si>
    <t>Nº func.</t>
  </si>
  <si>
    <t>Deprec. / func.</t>
  </si>
  <si>
    <t>ADM</t>
  </si>
  <si>
    <t>LUCRO</t>
  </si>
  <si>
    <t>TIPO DE SERVIÇO</t>
  </si>
  <si>
    <t>VALOR UNI</t>
  </si>
  <si>
    <t>VALOR HR</t>
  </si>
  <si>
    <t>VALOR HR 50%</t>
  </si>
  <si>
    <t>VALOR HR 100%</t>
  </si>
  <si>
    <t>ANEXO I</t>
  </si>
  <si>
    <t>Quadro-resumo – VALOR MENSAL DOS SERVIÇOS</t>
  </si>
  <si>
    <t>Item</t>
  </si>
  <si>
    <t>Tipo de Servio</t>
  </si>
  <si>
    <t>Localidade</t>
  </si>
  <si>
    <t>Valor Unitário do Item [A]</t>
  </si>
  <si>
    <t>Valor Mensal [C = A x B]</t>
  </si>
  <si>
    <t>Qtde Item (meses) [D]</t>
  </si>
  <si>
    <t>TOTAL ANUAL [E = C * D]</t>
  </si>
  <si>
    <t>xx/xx/xxxx</t>
  </si>
  <si>
    <t>Posto</t>
  </si>
  <si>
    <t>Salário Base (Quantidade de horas/mês)</t>
  </si>
  <si>
    <t>Adicional de periculosidade - Lei nº 12.740/2012</t>
  </si>
  <si>
    <t>Adicional Noturno [qtd de horas: 22h00 as 05h00 = 7 horas]</t>
  </si>
  <si>
    <t>Adicional Noturno mensal [percentual do adicional]</t>
  </si>
  <si>
    <t>Hora noturna reduzida</t>
  </si>
  <si>
    <t>Adicionou de Hora Extra</t>
  </si>
  <si>
    <t>Σ</t>
  </si>
  <si>
    <t>E1</t>
  </si>
  <si>
    <t>Hora Extra Normal [(Remuneração ÷ Qtd. Horas mensais) + 50%]</t>
  </si>
  <si>
    <t>E2</t>
  </si>
  <si>
    <t>Hora Extra Noturna [(Remuneração ÷ Qtd. Horas mensais) + 50% x 20% x 14,28%]</t>
  </si>
  <si>
    <t>E3</t>
  </si>
  <si>
    <t>Hora Extra Feriado [(Remuneração ÷ Qtd. Horas mensais) + 100%]</t>
  </si>
  <si>
    <t>E4</t>
  </si>
  <si>
    <t>Hora Extra Feriado Norturno [(Remuneração ÷ Qtd. Horas mensais) + 100% x 20% x 14,28%]</t>
  </si>
  <si>
    <t>1.2</t>
  </si>
  <si>
    <t>Outras verbas não salariais</t>
  </si>
  <si>
    <t>Qtd.</t>
  </si>
  <si>
    <t>Intervalo Intrajornada indenizado</t>
  </si>
  <si>
    <t>Indenização por viagem</t>
  </si>
  <si>
    <t>Total de Indenizações</t>
  </si>
  <si>
    <t>SAT - Seg. acid. de trabalho (Cálculo=RATxFAP)</t>
  </si>
  <si>
    <t>SESC</t>
  </si>
  <si>
    <t>SENAC</t>
  </si>
  <si>
    <t>Valor total de VT (ida + volta)</t>
  </si>
  <si>
    <t>Desconto máximo do empregado (6% do salário)</t>
  </si>
  <si>
    <t>Valor total de VR/Alimentação</t>
  </si>
  <si>
    <t>MÓDULO 3 - CUSTOS COM RESCISÃO</t>
  </si>
  <si>
    <t>3.1</t>
  </si>
  <si>
    <t>Provisão para Aviso Prévio Indenizado</t>
  </si>
  <si>
    <t>Valor do período de Trabalho Indenizado devido</t>
  </si>
  <si>
    <t>A.1</t>
  </si>
  <si>
    <t>Remuneração (30 dias + acréscimo 3 dias/ano)</t>
  </si>
  <si>
    <t>A.2</t>
  </si>
  <si>
    <t>13º Salário proporcional ao Mês Indenizado</t>
  </si>
  <si>
    <t>A.3</t>
  </si>
  <si>
    <t>Férias + 1/3 proporcionais ao Mês Indenizado</t>
  </si>
  <si>
    <t>A.4</t>
  </si>
  <si>
    <t>FGTS do Mês Indenizado (Rem. + 13º)</t>
  </si>
  <si>
    <t>Multa do FGTS sobre o Aviso Prévio Indenizado</t>
  </si>
  <si>
    <t>B.1</t>
  </si>
  <si>
    <t>Incidência do FGTS sobre o montante de depósitos</t>
  </si>
  <si>
    <t>B.1.1</t>
  </si>
  <si>
    <t>B.1.1.1</t>
  </si>
  <si>
    <t>Remuneração</t>
  </si>
  <si>
    <t>B.1.1.2</t>
  </si>
  <si>
    <t>13º Salário integral</t>
  </si>
  <si>
    <t>B.1.1.3</t>
  </si>
  <si>
    <t>Férias + 1/3 constitucional (usufruídas)</t>
  </si>
  <si>
    <t>3.2</t>
  </si>
  <si>
    <t>Provisão para Aviso Prévio Trabalhado</t>
  </si>
  <si>
    <t>+ 7 dias ( parágrafo único do art. 488 da CLT)</t>
  </si>
  <si>
    <t>Remuneração (30 dias)</t>
  </si>
  <si>
    <t>13º Salário proporcional</t>
  </si>
  <si>
    <t>Férias + 1/3 proporcionais</t>
  </si>
  <si>
    <t>A.5</t>
  </si>
  <si>
    <t>Submódulo 2.3 (Benefícios mensais) referente ao mês trabalhado</t>
  </si>
  <si>
    <t xml:space="preserve">  </t>
  </si>
  <si>
    <t>3.3</t>
  </si>
  <si>
    <t>Férias proporcionais das verbas rescisórias (sem incidência de FGTS)</t>
  </si>
  <si>
    <t>Férias proporcionais devidas</t>
  </si>
  <si>
    <t>1/3 Consitucional de férias proporcionais devidos</t>
  </si>
  <si>
    <t>Quadro-Resumo - Módulo 3 - CUSTO COM RESCISÃO</t>
  </si>
  <si>
    <t>SubTotal de Custo proporcional para Rescisão</t>
  </si>
  <si>
    <t>Proporção desligamentos com custos (vigência do contrato)</t>
  </si>
  <si>
    <t>Desligamento por Justa Causa (Desconto 13º e férias + 1;3)</t>
  </si>
  <si>
    <t>Provisão Mensal</t>
  </si>
  <si>
    <t>Férias proporcionais da rescisão (sem incidência de FGTS)</t>
  </si>
  <si>
    <t>Férias</t>
  </si>
  <si>
    <t>a.1</t>
  </si>
  <si>
    <t>Remuneração do Substituto [Módulo 1 x %vigência]</t>
  </si>
  <si>
    <t>a.2</t>
  </si>
  <si>
    <t>13º do Substituto [(12 avos/remuneração) x % vigência]</t>
  </si>
  <si>
    <t>a.3</t>
  </si>
  <si>
    <t>Férias + 1/3 de férias  [(12 avos/férias) x % vigência]</t>
  </si>
  <si>
    <t>a.4</t>
  </si>
  <si>
    <t>Incidência de Encargos [% do Submódulo 2.2 x   Σ 4.1-A.1 a 4.1-A3]</t>
  </si>
  <si>
    <t>a.5</t>
  </si>
  <si>
    <t>Provisão de Rescisão do ferista [Submódulos 3.1 + 3.2) x % vigência]</t>
  </si>
  <si>
    <t xml:space="preserve">Venda de Férias (100% = 10 dias) - Sem incidência de Encargos </t>
  </si>
  <si>
    <t>SubTotal</t>
  </si>
  <si>
    <t>Base de Cálculo do Custo do Substituto - exceto férias</t>
  </si>
  <si>
    <t>Férias acrescido do terço consitucional + 13º</t>
  </si>
  <si>
    <t>Incidência do Submódulo 2.2</t>
  </si>
  <si>
    <t>Benefícios diários e mensais</t>
  </si>
  <si>
    <t>Custo com a rescisão do ferista/volante</t>
  </si>
  <si>
    <t>Total da BCCS</t>
  </si>
  <si>
    <t>4.2</t>
  </si>
  <si>
    <t>Demais Ausências</t>
  </si>
  <si>
    <t>Substituto para Faltas Injustificáveis</t>
  </si>
  <si>
    <t>Descontos das ausências</t>
  </si>
  <si>
    <t>Σ %</t>
  </si>
  <si>
    <t>Descontos das ausências do colaborador residente</t>
  </si>
  <si>
    <r>
      <t xml:space="preserve">Módulo 1 - Remuneração </t>
    </r>
    <r>
      <rPr>
        <b/>
        <sz val="11"/>
        <color rgb="FF000000"/>
        <rFont val="Franklin Gothic Book"/>
        <family val="2"/>
      </rPr>
      <t>(Ausência F)</t>
    </r>
  </si>
  <si>
    <t>Módulo 1 - Descanso Semanal Remunerado</t>
  </si>
  <si>
    <t>Módulo 2.1 - Férias acrescido do terço consitucional + 13º</t>
  </si>
  <si>
    <r>
      <t>Módulo 2.3.A - Vale Transporte</t>
    </r>
    <r>
      <rPr>
        <b/>
        <sz val="11"/>
        <color rgb="FF000000"/>
        <rFont val="Franklin Gothic Book"/>
        <family val="2"/>
      </rPr>
      <t xml:space="preserve"> (Ausências A a F)</t>
    </r>
  </si>
  <si>
    <r>
      <t xml:space="preserve">Módulo 2.3.B - Vale Alimentação </t>
    </r>
    <r>
      <rPr>
        <b/>
        <sz val="11"/>
        <color rgb="FF000000"/>
        <rFont val="Franklin Gothic Book"/>
        <family val="2"/>
      </rPr>
      <t>(Ausências A a F)</t>
    </r>
  </si>
  <si>
    <r>
      <t xml:space="preserve">Módulo 2.B.C~ - Outros benefícios do SubMódulo 2.3 </t>
    </r>
    <r>
      <rPr>
        <b/>
        <sz val="11"/>
        <color rgb="FF000000"/>
        <rFont val="Franklin Gothic Book"/>
        <family val="2"/>
      </rPr>
      <t>(Ausência F)</t>
    </r>
  </si>
  <si>
    <r>
      <t xml:space="preserve">Módulo 2.2 (exceto FGTS) - Encargos sobre salário-maternidade </t>
    </r>
    <r>
      <rPr>
        <b/>
        <sz val="11"/>
        <color rgb="FF000000"/>
        <rFont val="Franklin Gothic Book"/>
        <family val="2"/>
      </rPr>
      <t>(Ausência E)</t>
    </r>
  </si>
  <si>
    <r>
      <t xml:space="preserve">Módulo 2.2 - Encargos </t>
    </r>
    <r>
      <rPr>
        <b/>
        <sz val="11"/>
        <color rgb="FF000000"/>
        <rFont val="Franklin Gothic Book"/>
        <family val="2"/>
      </rPr>
      <t>(Ausência F)</t>
    </r>
  </si>
  <si>
    <t>Desconto total sobre as ausências</t>
  </si>
  <si>
    <t xml:space="preserve">SubTotal - Demais Custos com substitutos </t>
  </si>
  <si>
    <t>Quadro-Resumo - Módulo 4 - CRPA</t>
  </si>
  <si>
    <t>Insumos</t>
  </si>
  <si>
    <t>Quantidade (total) a contratar</t>
  </si>
  <si>
    <t>Carga horária da Categoria (horas)</t>
  </si>
  <si>
    <t>Gasto mensal</t>
  </si>
  <si>
    <t>CATMAT</t>
  </si>
  <si>
    <t>Crachá (Confecção - Serviço)</t>
  </si>
  <si>
    <t>Camiseta</t>
  </si>
  <si>
    <t>345896/384197</t>
  </si>
  <si>
    <t>PCMSO e PPRA</t>
  </si>
  <si>
    <t xml:space="preserve"> 4101-05</t>
  </si>
  <si>
    <t>Encarregado Administrativo (44 horas semanais)</t>
  </si>
  <si>
    <t>Encarregado Administrativo</t>
  </si>
  <si>
    <t>Metro Quadraro</t>
  </si>
  <si>
    <t>5143-20</t>
  </si>
  <si>
    <t>5134-25</t>
  </si>
  <si>
    <t>5199-35</t>
  </si>
  <si>
    <t>Auxiliar de Limpeza (44 horas semanais)</t>
  </si>
  <si>
    <t>Auxiliar de Limpeza</t>
  </si>
  <si>
    <t>Copeiro</t>
  </si>
  <si>
    <t>Copeiro (44 horas semanais)</t>
  </si>
  <si>
    <t>xx/2022-200372</t>
  </si>
  <si>
    <t>Limpador (44 horas semanais)</t>
  </si>
  <si>
    <t>Lavador de Veículo</t>
  </si>
  <si>
    <t>Qtde [B]</t>
  </si>
  <si>
    <t>Produtividade</t>
  </si>
  <si>
    <t>Qts. Estimad Func</t>
  </si>
  <si>
    <t>Preço Homem-Mês (R$)</t>
  </si>
  <si>
    <t>SubTotal (R$*M²)</t>
  </si>
  <si>
    <t>Índice Produtividade [1/(M²/qtd func.)]</t>
  </si>
  <si>
    <t>Limpeza interna (44 horas semanais)</t>
  </si>
  <si>
    <t>Limpeza externa (44 horas semanais)</t>
  </si>
  <si>
    <t>Índice Produtividade - Encarrergado (1/M²)</t>
  </si>
  <si>
    <t>Copeira (44 horas semanais)</t>
  </si>
  <si>
    <t>Lavador de Veículo (44 horas semanais)</t>
  </si>
  <si>
    <t>m²</t>
  </si>
  <si>
    <t>Uni. Medida</t>
  </si>
  <si>
    <t>Jaqueta</t>
  </si>
  <si>
    <t xml:space="preserve">Calça </t>
  </si>
  <si>
    <t>Camisa</t>
  </si>
  <si>
    <t>Sapato</t>
  </si>
  <si>
    <t>Meias</t>
  </si>
  <si>
    <t>Plano de Benefício Social Familiar</t>
  </si>
  <si>
    <t>Custeio da Atividade Sindical Patronal</t>
  </si>
  <si>
    <r>
      <t>Auxílio Babá/Cuidadora</t>
    </r>
    <r>
      <rPr>
        <i/>
        <sz val="11"/>
        <color theme="1"/>
        <rFont val="Franklin Gothic Book"/>
        <family val="2"/>
      </rPr>
      <t xml:space="preserve"> [(R$ 140,00 * 3 meses) * probabilidade afastamento maternidade]</t>
    </r>
  </si>
  <si>
    <r>
      <t>ISS -</t>
    </r>
    <r>
      <rPr>
        <sz val="11"/>
        <color rgb="FFFF0000"/>
        <rFont val="Franklin Gothic Book"/>
        <family val="2"/>
      </rPr>
      <t xml:space="preserve"> Caxias/RS</t>
    </r>
  </si>
  <si>
    <r>
      <t xml:space="preserve">ISS - </t>
    </r>
    <r>
      <rPr>
        <sz val="11"/>
        <color rgb="FFFF0000"/>
        <rFont val="Franklin Gothic Book"/>
        <family val="2"/>
      </rPr>
      <t>Passo Fundo/RS</t>
    </r>
  </si>
  <si>
    <r>
      <t xml:space="preserve">ISS - </t>
    </r>
    <r>
      <rPr>
        <sz val="11"/>
        <color rgb="FFFF0000"/>
        <rFont val="Franklin Gothic Book"/>
        <family val="2"/>
      </rPr>
      <t>Santo Angelo/RS</t>
    </r>
  </si>
  <si>
    <r>
      <t xml:space="preserve">ISS - </t>
    </r>
    <r>
      <rPr>
        <sz val="11"/>
        <color rgb="FFFF0000"/>
        <rFont val="Franklin Gothic Book"/>
        <family val="2"/>
      </rPr>
      <t>São Borja/RS</t>
    </r>
  </si>
  <si>
    <r>
      <t xml:space="preserve">ISS - </t>
    </r>
    <r>
      <rPr>
        <sz val="11"/>
        <color rgb="FFFF0000"/>
        <rFont val="Franklin Gothic Book"/>
        <family val="2"/>
      </rPr>
      <t>Uruguaiana/RS</t>
    </r>
  </si>
  <si>
    <t>RS000043/2022</t>
  </si>
  <si>
    <t>Tarifa de abertura e manutenção Conta-Vinculada</t>
  </si>
  <si>
    <t>-</t>
  </si>
  <si>
    <t>Valor do insumo por funcionário será transposto automaticamente para o Item 5 de cada planilha de formação de preço</t>
  </si>
  <si>
    <t>ITEM</t>
  </si>
  <si>
    <t>MATERIAL</t>
  </si>
  <si>
    <t>UNIDADE</t>
  </si>
  <si>
    <t>R$ Referência</t>
  </si>
  <si>
    <t xml:space="preserve">Água sanitaria c/ cloro ativo 2,0% a 2,5% (uso domèstico) recipente galão com 5 litros </t>
  </si>
  <si>
    <t>UNI</t>
  </si>
  <si>
    <t>Álcool etílico hidratado 92,8º INPM
(96 Gl), recipiente com 1 litro.</t>
  </si>
  <si>
    <t>LITRO</t>
  </si>
  <si>
    <t>Frasco</t>
  </si>
  <si>
    <t xml:space="preserve">Desinfetante liquido ação germicida, bactericida (uso doméstico) </t>
  </si>
  <si>
    <t>Desodorante (DESODORIZADOR) sanitário, pedra de 40 gramas,</t>
  </si>
  <si>
    <t>Detergente liquido neutro concentrado (uso domestico)galão de 5 litros.</t>
  </si>
  <si>
    <t xml:space="preserve">Flanela branca, 40X60 cm, 100% algodão. </t>
  </si>
  <si>
    <t xml:space="preserve">Limpador Multiuso 1ª qualidade, Frasco com 500 mi. </t>
  </si>
  <si>
    <t xml:space="preserve">Multi-lnseticida doméstico, embalagem de 300 ml, spray ou aerossol. </t>
  </si>
  <si>
    <t>Pano de chão, alvejado, tipo saco.</t>
  </si>
  <si>
    <t>PACOTE</t>
  </si>
  <si>
    <t>FARDO</t>
  </si>
  <si>
    <t>PCT</t>
  </si>
  <si>
    <t xml:space="preserve">Sabão em pó c/ Bio Ativo de 1ª qualidade, Caixa de 1 Kg. </t>
  </si>
  <si>
    <t>Quantidade Colaboradores</t>
  </si>
  <si>
    <t>Celular (exclusivo encarregado)</t>
  </si>
  <si>
    <t>Equipamentos</t>
  </si>
  <si>
    <t>Materiais de consumo</t>
  </si>
  <si>
    <t>GALÃO</t>
  </si>
  <si>
    <t>SR/RS</t>
  </si>
  <si>
    <t xml:space="preserve">TELA DESODORIZADORA P/ MICTORIO </t>
  </si>
  <si>
    <t>ESPECIFICAÇÃO</t>
  </si>
  <si>
    <t>Cortador de grama costal a gasolina (sthil ou similar)</t>
  </si>
  <si>
    <t>Compressor de jato de água</t>
  </si>
  <si>
    <t>Podador de árvore a gasolina (sthil ou similar)</t>
  </si>
  <si>
    <t>Soprador a de folhas gasolina (sthil ou similar)</t>
  </si>
  <si>
    <t xml:space="preserve">Escada </t>
  </si>
  <si>
    <t>Mangueira trançada reforçada de ½ rolo de 50 metros</t>
  </si>
  <si>
    <t>Bomba aplicadora de veneno em pó (formiga)</t>
  </si>
  <si>
    <t>Alicate de pode grande bico de papagaio para cortar galhos</t>
  </si>
  <si>
    <t>Carrinho funcional p/ limpeza com espaço p/ acessórios (vassouras, baldes, etc)</t>
  </si>
  <si>
    <t>Enceradeira profissional pequena, Bandeirante ou de melhor qualidade</t>
  </si>
  <si>
    <t>Kit de limpeza para vidros</t>
  </si>
  <si>
    <t>Par</t>
  </si>
  <si>
    <t>INSUMOS - Uniforme</t>
  </si>
  <si>
    <t>Cera alto brilho Johnson &amp; Johnson ou de melhor qualidade</t>
  </si>
  <si>
    <t>Cera incolor líquida p/ piso paviflex (bombona de 5 litros)</t>
  </si>
  <si>
    <t>Cera incolor líquida p/ porcelanato</t>
  </si>
  <si>
    <t>Desodorizador de ar, embalagem de 360 -400 ml, spray.</t>
  </si>
  <si>
    <t>Esponja dupla face antibactérias 100x71x18mm.</t>
  </si>
  <si>
    <t>Limpa-vidro, com proteção contra mancha de chuva, frasco com 500 ml.</t>
  </si>
  <si>
    <t>Lustra-móveis, a base de silicone, repelente de umidade e poeira que permita um brilho seco. Embalagem descartável de 200ml</t>
  </si>
  <si>
    <t>Limpador p/ computador spray (tipo LEM)</t>
  </si>
  <si>
    <t>Luvas impermeável emborrachada, tamanhos P, M e G, referência Scoth Brite, 3M ou de melhor qualidade.</t>
  </si>
  <si>
    <t>PAR</t>
  </si>
  <si>
    <t>Pano de chão, cru, tipo saco.</t>
  </si>
  <si>
    <t>Pasta tipo Saponáceo cremoso, recipiente com 300 ml.</t>
  </si>
  <si>
    <t>Polidor/limpador de metais 500 ml.</t>
  </si>
  <si>
    <t>Querosene</t>
  </si>
  <si>
    <t>Refil para vassoura mop sec (bruxa)</t>
  </si>
  <si>
    <t>Removedor de cera de 1ª qualidade galão em 5 litros. Ref: Jato da Johnson &amp; Johnson</t>
  </si>
  <si>
    <t>Removedor de manchas tipo DRASTIC</t>
  </si>
  <si>
    <t>Sabão de côco</t>
  </si>
  <si>
    <t>Sabonete líquido, aspecto físico líquido, ph neutro, em embalagem apropriada para o dispenser a ser fornecido pela contratada.</t>
  </si>
  <si>
    <t>Saco para filtro de aspirador de pó</t>
  </si>
  <si>
    <t>Saco preto para lixo, alta resistência, c/ capacidade de 60 litros. Fardo c/ 100 unid.</t>
  </si>
  <si>
    <t>Saco verde para lixo, alta resistência, c/ capacidade de 60 litros. Fardo c/ 100 unid.</t>
  </si>
  <si>
    <t>Saponáceo em pó com detergente, perfumado com alquil benzeno sulfonato de sódio (embalagem de 500g). REF: Sapólio radium</t>
  </si>
  <si>
    <t>B - OUTROS</t>
  </si>
  <si>
    <t>CATMAT/ CATSER</t>
  </si>
  <si>
    <t>INSUMOS - Outros</t>
  </si>
  <si>
    <t>Quantidade (total) a contratar (interna)</t>
  </si>
  <si>
    <t>TOTAL - AUXILIAR LIMPEZA</t>
  </si>
  <si>
    <t>TOTAL - COPEIRA</t>
  </si>
  <si>
    <t>Vestido</t>
  </si>
  <si>
    <t>Avental</t>
  </si>
  <si>
    <t>Touca</t>
  </si>
  <si>
    <t>Meias sapatilha</t>
  </si>
  <si>
    <t>ISS - Porto Alegre</t>
  </si>
  <si>
    <t>Fio elétrico p/ extensão, 30metros</t>
  </si>
  <si>
    <t>Unidade de Medida</t>
  </si>
  <si>
    <t>Valor Unitário</t>
  </si>
  <si>
    <t>Unidade</t>
  </si>
  <si>
    <t>Conjunto</t>
  </si>
  <si>
    <t>TOTAL/Colaborador</t>
  </si>
  <si>
    <t>Esponja de lã de aço (pacote com 8 unidades)</t>
  </si>
  <si>
    <t>Estopa de algodão (pacote com 400 a 500 gramas)</t>
  </si>
  <si>
    <t>Naftalina, tipo esfera branca (pacote com 1kg)</t>
  </si>
  <si>
    <t>Papel higiênico, picotado, extra macio, folha dupla e branca, não reciclado, 100% fibras, com 30 metros.</t>
  </si>
  <si>
    <t>Papel higiênico, tipo Rolão, de 300m</t>
  </si>
  <si>
    <t>Papel toalha, interfolhado, duas dobras, branco, 1ª qualidade, Pacote 1.000 folhas.</t>
  </si>
  <si>
    <t>Papel toalha, Rolão, fardo c/ 06 rolos de 200m</t>
  </si>
  <si>
    <t>Sabão em barra glicerinado, 200g (Pacote com 5 unidades)</t>
  </si>
  <si>
    <t>Sabão líquido aromatizado / detergente para piso (GALÃO 5l)</t>
  </si>
  <si>
    <t>Saco preto para lixo, alta resistência, c/ capacidade de 100 litros. Fardo c/ 100 unid.</t>
  </si>
  <si>
    <t>Saco verde para lixo, alta resistência, c/ capacidade de 100 litros. Fardo c/ 100 unid.</t>
  </si>
  <si>
    <t>Saco preto para lixo, alta resistência, c/ capacidade de 20 litros. Fardo c/ 100 unid.</t>
  </si>
  <si>
    <t>QUANTITATIVO / DEPRECIAÇÃO MENSAL</t>
  </si>
  <si>
    <r>
      <t xml:space="preserve">Bomba pulverizadora </t>
    </r>
    <r>
      <rPr>
        <sz val="11"/>
        <color theme="9" tint="-0.249977111117893"/>
        <rFont val="Arial"/>
        <family val="2"/>
      </rPr>
      <t>Pulverizador De Compressão Prévia
Capacidade: 1,25 L.Características Adicionais: Portátil, Manual De Mesa/Laboratório, Bomba De Ar</t>
    </r>
  </si>
  <si>
    <r>
      <t xml:space="preserve">Carrinho de mão, de pneu c/ câmara  </t>
    </r>
    <r>
      <rPr>
        <sz val="11"/>
        <color theme="9" tint="-0.249977111117893"/>
        <rFont val="Arial"/>
        <family val="2"/>
      </rPr>
      <t>Carrinho Mão. Tipo Roda: Pneu Maciço, Com 3,2 Pol De Diâmetro; Altura: 20 CM; Material Caçamba: Chapa Aço Galvanizado; Tipo Travessa: Suporte Dianteiro Caçamba; Quantidade Roda: 1; Espessura Caçamba: 5 MM; Comprimento Eixo: 25 CM; Comprimento: 80 CM; Largura: 62 CM; Material Pés: Ferro; Material Chassi: Ferro.</t>
    </r>
  </si>
  <si>
    <r>
      <t>Bico para mangueira de 3 ¼</t>
    </r>
    <r>
      <rPr>
        <sz val="11"/>
        <color theme="9" tint="-0.249977111117893"/>
        <rFont val="Arial"/>
        <family val="2"/>
      </rPr>
      <t xml:space="preserve"> Bico Mangueira- Material: Aço; Tipo: Pistola; Bitola: 3/4 POL</t>
    </r>
  </si>
  <si>
    <r>
      <t xml:space="preserve">Balde plástico de 20 litros </t>
    </r>
    <r>
      <rPr>
        <sz val="11"/>
        <color theme="9" tint="-0.249977111117893"/>
        <rFont val="Arial"/>
        <family val="2"/>
      </rPr>
      <t>Balde- Material: Plástico; Aplicação: Uso Geral; Capacidade: 20 L; Características Adicionais: Com Alça Metálica</t>
    </r>
  </si>
  <si>
    <r>
      <t xml:space="preserve">Balde plástico de 10 litros </t>
    </r>
    <r>
      <rPr>
        <sz val="11"/>
        <color theme="9" tint="-0.249977111117893"/>
        <rFont val="Arial"/>
        <family val="2"/>
      </rPr>
      <t>Balde - Material: Pvc; Material Alça: Arame Galvanizado; Capacidade: 10 L; Cor: Preta</t>
    </r>
  </si>
  <si>
    <r>
      <t xml:space="preserve">Balde espremedor </t>
    </r>
    <r>
      <rPr>
        <sz val="11"/>
        <color theme="9" tint="-0.249977111117893"/>
        <rFont val="Arial"/>
        <family val="2"/>
      </rPr>
      <t>Balde Com Espremedor - Material Base: Plástico; Altura: 84 CM; Capacidade Balde: 30 L; Material Balde: Plástico; Material Espremedor: Plástico; Tipo Espremedor: Pressão Vertical; Comprimento: 52 CM; Largura: 37 CM.</t>
    </r>
  </si>
  <si>
    <r>
      <t xml:space="preserve">Aspirador de pó e água profissional – 1000 watts, 127/220v  </t>
    </r>
    <r>
      <rPr>
        <sz val="11"/>
        <color theme="9" tint="-0.249977111117893"/>
        <rFont val="Arial"/>
        <family val="2"/>
      </rPr>
      <t>Aspirador De Pó E Água - Material: Termoplástico; Capacidade: 15 L; Características Adicionais: 4 Rodizios, Guarnições; Tensão Alimentação: 220 V; Potência: 1.100 W.</t>
    </r>
  </si>
  <si>
    <r>
      <t xml:space="preserve">Carro funcional </t>
    </r>
    <r>
      <rPr>
        <i/>
        <sz val="11"/>
        <color rgb="FFFF0000"/>
        <rFont val="Arial"/>
        <family val="2"/>
      </rPr>
      <t>master</t>
    </r>
    <r>
      <rPr>
        <sz val="11"/>
        <color rgb="FFFF0000"/>
        <rFont val="Arial"/>
        <family val="2"/>
      </rPr>
      <t xml:space="preserve"> para limpeza </t>
    </r>
    <r>
      <rPr>
        <sz val="11"/>
        <color theme="9" tint="-0.249977111117893"/>
        <rFont val="Arial"/>
        <family val="2"/>
      </rPr>
      <t>Carro Limpeza - Material: Metal E Plástico; Tipo: 4 Rodízios; Comprimento: 114 CM; Largura: 48 CM; Altura: 96 CM; Aplicação: Limpeza Industrial E Comercial; Características Adicionais: 3 Prateleiras, 4 Baldes, Saco Funcional E Tampa</t>
    </r>
  </si>
  <si>
    <r>
      <t xml:space="preserve">Desentupidor de pias </t>
    </r>
    <r>
      <rPr>
        <sz val="11"/>
        <color theme="9" tint="-0.249977111117893"/>
        <rFont val="Arial"/>
        <family val="2"/>
      </rPr>
      <t>Desentupidor Pia - Material: Borracha Flexível; Cor: Preta; Material Cabo: Plástico Resistente; Comprimento Cabo: 20 CM; Tipo: Sanfonado.</t>
    </r>
  </si>
  <si>
    <r>
      <t>Desentupidor de vasos</t>
    </r>
    <r>
      <rPr>
        <sz val="11"/>
        <color theme="9" tint="-0.249977111117893"/>
        <rFont val="Arial"/>
        <family val="2"/>
      </rPr>
      <t xml:space="preserve"> Desentupidor Vaso Sanitário - Material: Borracha Flexível; Cor: Preta; Altura: 10 CM; Diâmetro: 16 CM; Material Cabo: Madeira; Comprimento Cabo: 50 CM.</t>
    </r>
  </si>
  <si>
    <r>
      <t xml:space="preserve">Enceradeira doméstica </t>
    </r>
    <r>
      <rPr>
        <sz val="11"/>
        <color theme="9" tint="-0.249977111117893"/>
        <rFont val="Arial"/>
        <family val="2"/>
      </rPr>
      <t>Enceradeira
Tipo: Doméstica
Potência Motor: Mínimo 250 W
Tensão Alimentação: 110 / 220 V
Diâmetro Escova: 24 CM
Características Adicionais: Com Uma Escova</t>
    </r>
  </si>
  <si>
    <r>
      <t xml:space="preserve">Enceradeira profissional grande, Bandeirante ou de melhor qualidade </t>
    </r>
    <r>
      <rPr>
        <sz val="11"/>
        <color theme="9" tint="-0.249977111117893"/>
        <rFont val="Arial"/>
        <family val="2"/>
      </rPr>
      <t xml:space="preserve"> Enceradeira
Tipo: Industrial
Potência Motor: 1 HP
Tipo Motor: Monofásico
Tensão Alimentação: 110 / 220 V
Diâmetro Escova: 50 CM</t>
    </r>
  </si>
  <si>
    <r>
      <t xml:space="preserve">Escada de alumínio com no mínimo / 06 degraus </t>
    </r>
    <r>
      <rPr>
        <sz val="11"/>
        <color theme="9" tint="-0.249977111117893"/>
        <rFont val="Arial"/>
        <family val="2"/>
      </rPr>
      <t>Escada Doméstica
Material: Alumínio
Número Degraus: 6 UN
Altura: 1,70 M
Características Adicionais: Pés Anti-Derrapantes, Sapatas Borracha, Travamento
Capacidade: 120 KG</t>
    </r>
  </si>
  <si>
    <r>
      <t>Escada extensiva de alumínio, 13x2 degraus, tipo  Escelsa</t>
    </r>
    <r>
      <rPr>
        <sz val="11"/>
        <color theme="9" tint="-0.249977111117893"/>
        <rFont val="Arial"/>
        <family val="2"/>
      </rPr>
      <t xml:space="preserve"> Escada Extensível De Alumínio
Capacidade: 150 KG
Tipo Sapata: Borracha Antiderrapante
Tipo Degraus: 2 X 13
Quantidade Degraus: 26 UN
Altura Fechada: 4,16 M
Altura Aberta: 3,89 M
Material: Alumínio
Altura Estendida: 6,88 M
Características Adicionais: Rodízios Na Parte Superior</t>
    </r>
  </si>
  <si>
    <r>
      <t>Escova oval de nylon, grande</t>
    </r>
    <r>
      <rPr>
        <sz val="11"/>
        <color theme="9" tint="-0.249977111117893"/>
        <rFont val="Arial"/>
        <family val="2"/>
      </rPr>
      <t xml:space="preserve"> Escova Limpeza Geral
Material Corpo: Madeira
Material Cerdas: Náilon
Características Adicionais: Ovalada
Comprimento: 12,50 CM
Largura: 6 CM
Espessura: 4 CM</t>
    </r>
  </si>
  <si>
    <r>
      <t>Espanador de pó</t>
    </r>
    <r>
      <rPr>
        <sz val="11"/>
        <color theme="9" tint="-0.249977111117893"/>
        <rFont val="Arial"/>
        <family val="2"/>
      </rPr>
      <t xml:space="preserve"> Espanador
Material: Penas
Material Cabo: Madeira
Comprimento Cabo: 40 CM
Características Adicionais: Torneado E Reforçado</t>
    </r>
  </si>
  <si>
    <r>
      <t xml:space="preserve">Espátula de 3” </t>
    </r>
    <r>
      <rPr>
        <sz val="11"/>
        <color theme="9" tint="-0.249977111117893"/>
        <rFont val="Arial"/>
        <family val="2"/>
      </rPr>
      <t>Espátula
Material Lâmina: Aço Cromado
Material Cabo: Plástico
Aplicação: Massa E Raspagem
Comprimento Total: 21,60 CM
Largura Da Lâmina: 6 CM</t>
    </r>
  </si>
  <si>
    <r>
      <t xml:space="preserve">Luva impermeável de borracha látex (P, M e G) </t>
    </r>
    <r>
      <rPr>
        <sz val="11"/>
        <color theme="9" tint="-0.249977111117893"/>
        <rFont val="Arial"/>
        <family val="2"/>
      </rPr>
      <t>Luva De Proteção
Material: Latéx
Finalidade: Epi - Equipamento De Proteção Individual
Tamanho: Médio
Características Adicionais: Forro Flocado Algodão, Comprimento Mínimo 29cm
Acabamento Palma: Antiderrapante</t>
    </r>
  </si>
  <si>
    <r>
      <t>Lava jato profissional, móvel, de 1600 libras</t>
    </r>
    <r>
      <rPr>
        <sz val="11"/>
        <color theme="9" tint="-0.249977111117893"/>
        <rFont val="Arial"/>
        <family val="2"/>
      </rPr>
      <t xml:space="preserve"> Lavadora Alta Pressão
Pressão: 1600 PSI
Vazão: 7,5 L/MIN
Tensão: 220 V
Potência Consumida: 2,9 KW
Características Adicionais: 3 Pistões E Carrinho De Transporte
Tipo: Lava-Jato
Modelo: Profissional
Acessórios: Reservatório Para Detergente E Mangueira De Alta P</t>
    </r>
  </si>
  <si>
    <r>
      <t xml:space="preserve">Luva de couro </t>
    </r>
    <r>
      <rPr>
        <sz val="11"/>
        <color theme="9" tint="-0.249977111117893"/>
        <rFont val="Arial"/>
        <family val="2"/>
      </rPr>
      <t>Luva Industrial
Material: Couro
Revestimento Interno: Couro
Acabamento Superficial: Costura Externa
Características Adicionais: Anti-Derrapante
Tamanho Cano: 11 Cm</t>
    </r>
  </si>
  <si>
    <t>ROLO 50m</t>
  </si>
  <si>
    <r>
      <t xml:space="preserve">Mangueira trançada reforçada ½ polegada </t>
    </r>
    <r>
      <rPr>
        <sz val="11"/>
        <color theme="9" tint="-0.249977111117893"/>
        <rFont val="Arial"/>
        <family val="2"/>
      </rPr>
      <t>Mangueira Jardim
Material: Pvc Trançado Em Fio Poliéster
Diâmetro: 1/2 POL
Espessura: 2 MM
Pressão Máxima: 10,34 BAR.
Cor: Verde/Cristal</t>
    </r>
  </si>
  <si>
    <r>
      <t>Óculos de proteção</t>
    </r>
    <r>
      <rPr>
        <sz val="11"/>
        <color theme="9" tint="-0.249977111117893"/>
        <rFont val="Arial"/>
        <family val="2"/>
      </rPr>
      <t xml:space="preserve"> Óculos Proteção
Material Armação: Plástico Rígido
Tipo Proteção: Ampla Visão
Material Proteção: Policarbonato
Tipo Lente: Policarbonato Translúcido
Cor Lente: Incolor
Aplicação: Contra Impactos De Particulas E Ráios Ultravioleta
Características Adicionais: Ajuste Por Tirante Elástico Apresilhadas Nas Later</t>
    </r>
  </si>
  <si>
    <r>
      <t>Pá p/ lixo de plástico, cabo longo</t>
    </r>
    <r>
      <rPr>
        <sz val="11"/>
        <color theme="9" tint="-0.249977111117893"/>
        <rFont val="Arial"/>
        <family val="2"/>
      </rPr>
      <t xml:space="preserve"> Pá Coletora Lixo
Material Coletor: Poliestireno
Material Cabo: Alumínio
Comprimento Cabo: 80 CM
Comprimento: 28 CM
Largura: 28 CM
Altura: 81 CM
Aplicação: Limpeza
Modelo: Com Tampa</t>
    </r>
  </si>
  <si>
    <r>
      <t xml:space="preserve">Rodo de plástico c/ borracha dupla c/base de 40 cm </t>
    </r>
    <r>
      <rPr>
        <sz val="11"/>
        <color theme="9" tint="-0.249977111117893"/>
        <rFont val="Arial"/>
        <family val="2"/>
      </rPr>
      <t>Rodo
Material Cabo: Madeira Com Capa Plástica
Material Suporte: Madeira
Comprimento Suporte: 40 CM
Quantidade Borrachas: 2 UN
Características Adicionais: Cabo 1,40 M</t>
    </r>
  </si>
  <si>
    <r>
      <t>Sinalizador para piso molhado/Placa de advertência “piso escorregadio”</t>
    </r>
    <r>
      <rPr>
        <sz val="11"/>
        <color theme="9" tint="-0.249977111117893"/>
        <rFont val="Arial"/>
        <family val="2"/>
      </rPr>
      <t xml:space="preserve"> Cavalete Sinalização
Material: Polipropileno
Largura: 0,23 M
Altura: 60 CM
Cor: Laranja/Amarelo
Características Adicionais: Dobrável, Conforme Modelo Do Órgão
Aplicação: Advertência Piso Escorregadio</t>
    </r>
  </si>
  <si>
    <r>
      <t xml:space="preserve">Vassoura de pelo </t>
    </r>
    <r>
      <rPr>
        <sz val="11"/>
        <color theme="9" tint="-0.249977111117893"/>
        <rFont val="Arial"/>
        <family val="2"/>
      </rPr>
      <t>Vassoura
Material Cerdas: Pêlo Sintético
Material Cepa: Madeira
Comprimento Cepa: 40 CM
Características Adicionais: Cabo Rosqueável, 1,20 M
Largura Cepa: 4,5 CM</t>
    </r>
  </si>
  <si>
    <r>
      <t xml:space="preserve">Vassoura cerdas nylon </t>
    </r>
    <r>
      <rPr>
        <sz val="11"/>
        <color theme="9" tint="-0.249977111117893"/>
        <rFont val="Arial"/>
        <family val="2"/>
      </rPr>
      <t>Vassoura
Material Cerdas: Náilon
Material Cepa: Polipropileno
Comprimento Cepa: 25 CM
Características Adicionais: Com Ponteira Alça, Cabo Rosqueado De 1,20 M</t>
    </r>
  </si>
  <si>
    <r>
      <t>Vassourão de piaçava com 50 cm.</t>
    </r>
    <r>
      <rPr>
        <sz val="11"/>
        <color theme="9" tint="-0.249977111117893"/>
        <rFont val="Arial"/>
        <family val="2"/>
      </rPr>
      <t xml:space="preserve"> Vassoura
Material Cerdas: Piaçava
Material Cabo: Madeira
Material Cepa: Madeira
Comprimento Cepa: 50 CM
Características Adicionais: 36 Furos, 13 Cm De Piaçava Fora Da Cepa, Cepa Com
Largura Cepa: 5 CM
Altura Cepa: 5 CM
Comprimento Cabo: 110 CM</t>
    </r>
  </si>
  <si>
    <r>
      <t xml:space="preserve">Vassoura tipo mop sec </t>
    </r>
    <r>
      <rPr>
        <sz val="11"/>
        <color theme="9" tint="-0.249977111117893"/>
        <rFont val="Arial"/>
        <family val="2"/>
      </rPr>
      <t>Mop Pó
Material: Fibras De Algodão
Aplicação: Limpeza
Gramatura: 300 G/M2
Características Adicionais: Alumínio, Cabo 1,50 M, Lavável E Adaptável
Base Do Mop: 60 CM</t>
    </r>
  </si>
  <si>
    <r>
      <t xml:space="preserve">Vassoura p/ limpar teto </t>
    </r>
    <r>
      <rPr>
        <sz val="11"/>
        <color theme="9" tint="-0.249977111117893"/>
        <rFont val="Arial"/>
        <family val="2"/>
      </rPr>
      <t>Vassoura
Material Cerdas: Sisal
Material Cabo: Madeira
Tipo: Vasculho
Aplicação: Limpeza Teto
Comprimento Cabo: 170 CM</t>
    </r>
  </si>
  <si>
    <r>
      <t>Vassoura de limpar vaso</t>
    </r>
    <r>
      <rPr>
        <sz val="11"/>
        <color theme="9" tint="-0.249977111117893"/>
        <rFont val="Arial"/>
        <family val="2"/>
      </rPr>
      <t xml:space="preserve"> Vassourinha
Material Cerda: Náilon
Material Cabo: Plástico
Aplicação: Limpeza Sanitário</t>
    </r>
  </si>
  <si>
    <r>
      <t xml:space="preserve">Fio elétrico p/ extensão, mínimo 30 metros </t>
    </r>
    <r>
      <rPr>
        <sz val="11"/>
        <color theme="9" tint="-0.249977111117893"/>
        <rFont val="Arial"/>
        <family val="2"/>
      </rPr>
      <t>Extensão Elétrica
Tipo: Flexível
Comprimento: 30 M
Componentes: 3 Tomadas Fêmeas E Plugue Terra
Tensão Nominal: 250 V
Normas Técnicas: Nbr 14136
Corrente Nominal: 10 A</t>
    </r>
  </si>
  <si>
    <r>
      <t>Dispenser</t>
    </r>
    <r>
      <rPr>
        <sz val="11"/>
        <color rgb="FF000000"/>
        <rFont val="Arial"/>
        <family val="2"/>
      </rPr>
      <t xml:space="preserve"> de “mesa” p/ sabonete líquido em material plástico transparente, c/ válvula p/ acionamento por pressão</t>
    </r>
    <r>
      <rPr>
        <i/>
        <sz val="11"/>
        <color rgb="FF000000"/>
        <rFont val="Arial"/>
        <family val="2"/>
      </rPr>
      <t xml:space="preserve"> </t>
    </r>
    <r>
      <rPr>
        <i/>
        <sz val="11"/>
        <color theme="9" tint="-0.249977111117893"/>
        <rFont val="Arial"/>
        <family val="2"/>
      </rPr>
      <t>Garrafa
Material: Plástico
Capacidade: 1.000 ML
Aplicação: Sabão Líquido
Características Adicionais: Dosador De Sabão/Roscável/Bitola Adaptador 1/2" Em</t>
    </r>
  </si>
  <si>
    <t xml:space="preserve"> (duplicado)</t>
  </si>
  <si>
    <t xml:space="preserve">Vassoura de piaçava </t>
  </si>
  <si>
    <t>(50cm já não atende?)</t>
  </si>
  <si>
    <t>lixeira para escritório</t>
  </si>
  <si>
    <t xml:space="preserve"> (obrigação da PF)</t>
  </si>
  <si>
    <t>(quais itens? Já não estão previsto nesta lista?)</t>
  </si>
  <si>
    <t>Item abaixo não atende?</t>
  </si>
  <si>
    <r>
      <t>Enxada com cabo</t>
    </r>
    <r>
      <rPr>
        <sz val="11"/>
        <color theme="9" tint="-0.249977111117893"/>
        <rFont val="Arial"/>
        <family val="2"/>
      </rPr>
      <t xml:space="preserve"> Enxada
Material: Aço Carbono
Material Encaixe Cabo: Ferro Fundido
Largura: 30 CM
Altura: 18 CM
Peso: 1 KG
Tipo: Estampado(Achatado)
Material Cabo: Madeira
Comprimento Cabo: 150 CM</t>
    </r>
  </si>
  <si>
    <r>
      <t xml:space="preserve">Facão </t>
    </r>
    <r>
      <rPr>
        <sz val="11"/>
        <color theme="9" tint="-0.249977111117893"/>
        <rFont val="Arial"/>
        <family val="2"/>
      </rPr>
      <t>Facão
Material Lâmina: Aço
Material Cabo: Polipropileno
Comprimento: 14 POL
Tipo: Para Mato
Características Adicionais: Com Bainha</t>
    </r>
  </si>
  <si>
    <r>
      <t xml:space="preserve">Rastilho </t>
    </r>
    <r>
      <rPr>
        <sz val="11"/>
        <color rgb="FFFF0000"/>
        <rFont val="Arial"/>
        <family val="2"/>
      </rPr>
      <t>(rastelo, ancinho?)</t>
    </r>
    <r>
      <rPr>
        <sz val="11"/>
        <color rgb="FF000000"/>
        <rFont val="Arial"/>
        <family val="2"/>
      </rPr>
      <t xml:space="preserve"> </t>
    </r>
    <r>
      <rPr>
        <sz val="11"/>
        <color theme="9" tint="-0.249977111117893"/>
        <rFont val="Arial"/>
        <family val="2"/>
      </rPr>
      <t>Ancinho Jardinagem
Material: Chapa Ferro
Quantidade Dentes: 22 UN
Altura Dentes: 420 MM
Largura Total: 320 MM
Espessura Dentes: 3,50 MM
Características Adicionais: Com Cabo Madeira</t>
    </r>
  </si>
  <si>
    <r>
      <t xml:space="preserve">Vassoura grande de varrer pátio </t>
    </r>
    <r>
      <rPr>
        <sz val="11"/>
        <color theme="9" tint="-0.249977111117893"/>
        <rFont val="Arial"/>
        <family val="2"/>
      </rPr>
      <t>Vassoura Jardinagem
Tipo: Fixa
Material Cerdas: Polipropileno Alta Resistência
Características Adicionais: Com Cabo 120 Cm
Quantidade Lâminas: 22 UN</t>
    </r>
  </si>
  <si>
    <r>
      <t xml:space="preserve">Aspersor de água reto </t>
    </r>
    <r>
      <rPr>
        <sz val="11"/>
        <color theme="9" tint="-0.249977111117893"/>
        <rFont val="Arial"/>
        <family val="2"/>
      </rPr>
      <t>Aspersor
Material: Polietileno
Aplicação: Irrigação
Pressão: 1,4 A 3,8 BAR.
Vazão: 0,29 A A,49 M3/H</t>
    </r>
  </si>
  <si>
    <r>
      <t>Tesoura para pode de árvore</t>
    </r>
    <r>
      <rPr>
        <sz val="11"/>
        <color theme="9" tint="-0.249977111117893"/>
        <rFont val="Arial"/>
        <family val="2"/>
      </rPr>
      <t xml:space="preserve"> Tesoura Poda
Material Lâmina: Chapa Galvanizada
Características Adicionais: Com Guilhotina De Mola
Comprimento: 30 CM
Formato: Bico De Gavião</t>
    </r>
  </si>
  <si>
    <t>485736 ou 315412</t>
  </si>
  <si>
    <t>485731 ou 247031</t>
  </si>
  <si>
    <r>
      <rPr>
        <sz val="10"/>
        <color rgb="FFFF0000"/>
        <rFont val="Franklin Gothic Book"/>
        <family val="2"/>
      </rPr>
      <t xml:space="preserve">Ácido muriático </t>
    </r>
    <r>
      <rPr>
        <sz val="10"/>
        <color theme="9" tint="-0.249977111117893"/>
        <rFont val="Franklin Gothic Book"/>
        <family val="2"/>
      </rPr>
      <t>Desengraxante; Aspecto Físico: Líquido; Aplicação: Limpeza Em Geral; Características Adicionais: Solúvel Em Água. Composição: Ácido: Sulfônico, Fluorídrico, Muriático</t>
    </r>
  </si>
  <si>
    <t>Sabonete em pedra 90 gramas</t>
  </si>
  <si>
    <t>duplicado</t>
  </si>
  <si>
    <t xml:space="preserve">Carrinho de mão com pneu de câmera </t>
  </si>
  <si>
    <t xml:space="preserve">Carrinho de gari 88 litros </t>
  </si>
  <si>
    <t>7A</t>
  </si>
  <si>
    <t>8A</t>
  </si>
  <si>
    <t>9A</t>
  </si>
  <si>
    <t>10A</t>
  </si>
  <si>
    <t>11A</t>
  </si>
  <si>
    <t>12A</t>
  </si>
  <si>
    <t>Disco limpador verde, 410 mm para enceradeira profissional, marca Bettanin ou de melhor qualidade</t>
  </si>
  <si>
    <t>Disco limpador preto, 410 mm para enceradeira profissional, marca Bettanin ou de melhor qualidade</t>
  </si>
  <si>
    <t>Disco limpador branco, 410 mm para enceradeira profissional, marca Bettanin ou de melhor qualidade</t>
  </si>
  <si>
    <t>Disco limpador verde, 350 mm para enceradeira profissional, marca Bettanin ou de melhor qualidade</t>
  </si>
  <si>
    <t>Disco limpador preto, 350 mm para enceradeira profissional, marca Bettanin ou de melhor qualidade</t>
  </si>
  <si>
    <t>Disco limpador branco, 350 mm para enceradeira profissional, marca Bettanin ou de melhor qualidade</t>
  </si>
  <si>
    <t>(duplicado equipamento)</t>
  </si>
  <si>
    <t>TOTAL MATERIAIS</t>
  </si>
  <si>
    <t>TOTAL EQUIPAMENTOS</t>
  </si>
  <si>
    <t>LAVADOR DE VEÍCULO</t>
  </si>
  <si>
    <t>Cera para polimento de veículo, lata com 200 gramas, marca Grand Prix ou similar</t>
  </si>
  <si>
    <t>Cera protetora de vinil para veículo, frasco com 200 ml</t>
  </si>
  <si>
    <t>Escova de nylon manual para limpeza de veículo</t>
  </si>
  <si>
    <t>Esponja para aplicação de cera polidora na pintura e de produto nos pneus</t>
  </si>
  <si>
    <t>Esponja macia para lavagem da pintura de veículos</t>
  </si>
  <si>
    <t>Estopa para polimento dos veículos oficiais</t>
  </si>
  <si>
    <t>Flanela</t>
  </si>
  <si>
    <t>Querosene para uso no processo de limpeza dos veículos</t>
  </si>
  <si>
    <t>Pano para limpeza de veículos</t>
  </si>
  <si>
    <t>Produto para limpeza de pneus de veículos</t>
  </si>
  <si>
    <t>Xampu concentrado para lavagem de veículos</t>
  </si>
  <si>
    <t>QUANTIDADES E PREÇOS MENSAIS (AUXILIAR LIMPEZA)</t>
  </si>
  <si>
    <t>LATA</t>
  </si>
  <si>
    <t>LAVADOR VEÍCULO</t>
  </si>
  <si>
    <t>Bandeja em aço inoxidável, com alças, acabamento decorado, tamanho grande</t>
  </si>
  <si>
    <t>Garrafa térmica de pressão, com capacidade aproximada de 1,9 litros, acabamento interno e externo em aço inoxidável, inquebrável, sem ampola de vidro.</t>
  </si>
  <si>
    <t>Garrafa térmica tipo jarra, com capacidade aproximada de 1,0 litro, acabamento em aço inoxidável, alça fixa e bico direcionador com corta-gotas, abertura por rosca.</t>
  </si>
  <si>
    <t>Bule em alumínio, com capacidade de 05 litros</t>
  </si>
  <si>
    <t>Colher grande e resistente, em aço inox, tipo para servir arroz</t>
  </si>
  <si>
    <t>Balde, capacidade 05 litros.</t>
  </si>
  <si>
    <t>Potes para mantimentos (café, chá e açúcar). Conjunto de 3 unidades cada.</t>
  </si>
  <si>
    <t>Carrinhos com rodízios, para servir café, chá e/ou água quente</t>
  </si>
  <si>
    <t>Escova para lavagem de garrafa térmica</t>
  </si>
  <si>
    <t>Pano de prato, branco, 100% algodão.</t>
  </si>
  <si>
    <t>Pano de pia, super absorvente</t>
  </si>
  <si>
    <t>Coador de pano grande para máquina de café da contratante</t>
  </si>
  <si>
    <t>Coador de pano médio, para bule de 02 litros</t>
  </si>
  <si>
    <t>Coador de pano médio, para bule de 05 litros</t>
  </si>
  <si>
    <t>473584, 374447 ou 362038</t>
  </si>
  <si>
    <r>
      <t xml:space="preserve">Aromatizante tipo bom ar, em aerossol, que não contenha CFC, para uso nos veículos oficiais </t>
    </r>
    <r>
      <rPr>
        <sz val="10"/>
        <color theme="9" tint="-0.249977111117893"/>
        <rFont val="Franklin Gothic Book"/>
        <family val="2"/>
      </rPr>
      <t>(Frasco 360-400ml)</t>
    </r>
  </si>
  <si>
    <t>(idem Item 12)</t>
  </si>
  <si>
    <t>(idem Item 14)</t>
  </si>
  <si>
    <t>(idem Item 15)</t>
  </si>
  <si>
    <t>(idem Item 24)</t>
  </si>
  <si>
    <t>Corumbá - Mato Grosso do Sul</t>
  </si>
  <si>
    <r>
      <rPr>
        <b/>
        <sz val="11"/>
        <color rgb="FFFF0000"/>
        <rFont val="Franklin Gothic Book"/>
        <family val="2"/>
      </rPr>
      <t>Dourados</t>
    </r>
    <r>
      <rPr>
        <sz val="11"/>
        <color rgb="FF000000"/>
        <rFont val="Franklin Gothic Book"/>
        <family val="2"/>
      </rPr>
      <t xml:space="preserve"> - Mato Grosso do Sul</t>
    </r>
  </si>
  <si>
    <r>
      <rPr>
        <b/>
        <sz val="11"/>
        <color rgb="FFFF0000"/>
        <rFont val="Franklin Gothic Book"/>
        <family val="2"/>
      </rPr>
      <t>Três Lagoas</t>
    </r>
    <r>
      <rPr>
        <sz val="11"/>
        <color rgb="FF000000"/>
        <rFont val="Franklin Gothic Book"/>
        <family val="2"/>
      </rPr>
      <t xml:space="preserve"> - Mato Grosso do Sul</t>
    </r>
  </si>
  <si>
    <r>
      <rPr>
        <b/>
        <sz val="11"/>
        <color rgb="FFFF0000"/>
        <rFont val="Franklin Gothic Book"/>
        <family val="2"/>
      </rPr>
      <t>Ponta Porã</t>
    </r>
    <r>
      <rPr>
        <sz val="11"/>
        <color rgb="FF000000"/>
        <rFont val="Franklin Gothic Book"/>
        <family val="2"/>
      </rPr>
      <t xml:space="preserve"> - Mato Grosso do Sul</t>
    </r>
  </si>
  <si>
    <r>
      <rPr>
        <b/>
        <sz val="11"/>
        <color rgb="FFFF0000"/>
        <rFont val="Franklin Gothic Book"/>
        <family val="2"/>
      </rPr>
      <t xml:space="preserve">Naviraú </t>
    </r>
    <r>
      <rPr>
        <sz val="11"/>
        <color rgb="FF000000"/>
        <rFont val="Franklin Gothic Book"/>
        <family val="2"/>
      </rPr>
      <t>- Mato Grosso do Sul</t>
    </r>
  </si>
  <si>
    <t>CRA</t>
  </si>
  <si>
    <t>DRS</t>
  </si>
  <si>
    <t>TLS</t>
  </si>
  <si>
    <t>PPA</t>
  </si>
  <si>
    <t>NVI</t>
  </si>
  <si>
    <t>CAMPO GRANDE (SR)</t>
  </si>
  <si>
    <t>CORUMBÁ (CRA)</t>
  </si>
  <si>
    <t>DOURADOS (DRS)</t>
  </si>
  <si>
    <t>TRÊS LAGOAS (TLS)</t>
  </si>
  <si>
    <t>PONTA PORÃ (PPA)</t>
  </si>
  <si>
    <t>NAVIRAÍ (NVI)</t>
  </si>
  <si>
    <t>SR/MS</t>
  </si>
  <si>
    <t>Campo Grande  - Mato Grosso do Sul</t>
  </si>
  <si>
    <t>08335.000096/2023-31</t>
  </si>
  <si>
    <t>xx/2022-200354</t>
  </si>
  <si>
    <t>MS000006/2022</t>
  </si>
  <si>
    <t>Limpeza Interna(44 horas semanais) + encarregado</t>
  </si>
  <si>
    <t>Outros (especificar) - gratificação CCT</t>
  </si>
  <si>
    <t>Outros (especificar) - GRAT. CLAUS. 5 CCT</t>
  </si>
  <si>
    <t>Outros (especificar) GRAT. CLAUS. 5 CCT</t>
  </si>
  <si>
    <t>Outros (especificar) - Cláusula 5ª CCT</t>
  </si>
  <si>
    <t>Outros (especificar)- Cláusula 5ª CCT</t>
  </si>
  <si>
    <t>Distribui§1o</t>
  </si>
  <si>
    <t>VALORES MAXIMOS</t>
  </si>
  <si>
    <t>VALOR UNITARIO MEDIO MAXIMO</t>
  </si>
  <si>
    <t>FUN AO INCISO I</t>
  </si>
  <si>
    <t>INCISO IV</t>
  </si>
  <si>
    <t>ADMITIDO</t>
  </si>
  <si>
    <t>VALOR MENSAL</t>
  </si>
  <si>
    <t>NV</t>
  </si>
  <si>
    <t>VALOR ANUAL</t>
  </si>
  <si>
    <r>
      <t xml:space="preserve">Servente </t>
    </r>
    <r>
      <rPr>
        <sz val="8"/>
        <color rgb="FF111111"/>
        <rFont val="Arial"/>
        <family val="2"/>
      </rPr>
      <t xml:space="preserve">de </t>
    </r>
    <r>
      <rPr>
        <sz val="8"/>
        <color theme="1"/>
        <rFont val="Arial"/>
        <family val="2"/>
      </rPr>
      <t>Limpeza</t>
    </r>
  </si>
  <si>
    <t>RS 3.677,72</t>
  </si>
  <si>
    <t>Servente de Limpeza</t>
  </si>
  <si>
    <t>com gratificação de</t>
  </si>
  <si>
    <t>Lider</t>
  </si>
  <si>
    <t>RS 4.295,01</t>
  </si>
  <si>
    <r>
      <t xml:space="preserve">com </t>
    </r>
    <r>
      <rPr>
        <sz val="7.5"/>
        <color rgb="FF111111"/>
        <rFont val="Arial"/>
        <family val="2"/>
      </rPr>
      <t xml:space="preserve">gratifcação </t>
    </r>
    <r>
      <rPr>
        <sz val="7.5"/>
        <color rgb="FF1F1F1F"/>
        <rFont val="Arial"/>
        <family val="2"/>
      </rPr>
      <t>de</t>
    </r>
  </si>
  <si>
    <t>copeira</t>
  </si>
  <si>
    <t>RS 3.712,80</t>
  </si>
  <si>
    <r>
      <t xml:space="preserve">Senente </t>
    </r>
    <r>
      <rPr>
        <sz val="7.5"/>
        <color rgb="FF212121"/>
        <rFont val="Arial"/>
        <family val="2"/>
      </rPr>
      <t xml:space="preserve">de </t>
    </r>
    <r>
      <rPr>
        <sz val="7.5"/>
        <color theme="1"/>
        <rFont val="Arial"/>
        <family val="2"/>
      </rPr>
      <t>Limpeza</t>
    </r>
  </si>
  <si>
    <r>
      <t xml:space="preserve">com </t>
    </r>
    <r>
      <rPr>
        <sz val="7.5"/>
        <color theme="1"/>
        <rFont val="Arial"/>
        <family val="2"/>
      </rPr>
      <t>gratificação de</t>
    </r>
  </si>
  <si>
    <t>Jardineiro</t>
  </si>
  <si>
    <r>
      <rPr>
        <b/>
        <sz val="11"/>
        <color rgb="FFFF0000"/>
        <rFont val="Franklin Gothic Book"/>
        <family val="2"/>
      </rPr>
      <t>Naviraí</t>
    </r>
    <r>
      <rPr>
        <sz val="11"/>
        <color rgb="FF000000"/>
        <rFont val="Franklin Gothic Book"/>
        <family val="2"/>
      </rPr>
      <t>- Mato Grosso do Sul</t>
    </r>
  </si>
  <si>
    <t>Benefício Social Familiar</t>
  </si>
  <si>
    <t xml:space="preserve">Outros (especificar) Cesta Básica </t>
  </si>
  <si>
    <t>Outros (especificar)  -Gratificação CCT</t>
  </si>
  <si>
    <t>Outros (especificar) Cesta Básica</t>
  </si>
  <si>
    <t>Outros (especificar)  Cesta Básica</t>
  </si>
  <si>
    <t>MENSAL:</t>
  </si>
  <si>
    <t>12 Meses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</si>
</sst>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1">
    <numFmt numFmtId="6" formatCode="&quot;R$&quot;\ #,##0;[Red]\-&quot;R$&quot;\ #,##0"/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0.0%"/>
    <numFmt numFmtId="166" formatCode="0.0000"/>
    <numFmt numFmtId="167" formatCode="&quot;R$&quot;\ #,##0.00"/>
    <numFmt numFmtId="168" formatCode="0.0000%"/>
    <numFmt numFmtId="169" formatCode="0.0"/>
    <numFmt numFmtId="170" formatCode="_-&quot;R$&quot;\ * #,##0.00_-;\(\-&quot;R$&quot;\ * #,##0.00\);_-&quot;R$&quot;\ * &quot;-&quot;??_-;_-@_-"/>
    <numFmt numFmtId="171" formatCode="#,##0_ ;[Red]\-#,##0\ "/>
    <numFmt numFmtId="172" formatCode="_-* #,##0_-;\-* #,##0_-;_-* &quot;-&quot;??_-;_-@_-"/>
    <numFmt numFmtId="173" formatCode="0.000000000000"/>
    <numFmt numFmtId="174" formatCode="0.0000000000000"/>
    <numFmt numFmtId="175" formatCode="0.00000000000000"/>
    <numFmt numFmtId="176" formatCode="&quot;R$&quot;\ #,##0.000000"/>
    <numFmt numFmtId="177" formatCode="_-&quot;R$&quot;\ * #,##0.000000000_-;\-&quot;R$&quot;\ * #,##0.000000000_-;_-&quot;R$&quot;\ * &quot;-&quot;??_-;_-@_-"/>
    <numFmt numFmtId="178" formatCode="_-&quot;R$&quot;\ * #,##0.0000000000_-;\-&quot;R$&quot;\ * #,##0.0000000000_-;_-&quot;R$&quot;\ * &quot;-&quot;??_-;_-@_-"/>
    <numFmt numFmtId="179" formatCode="_-&quot;R$&quot;\ * #,##0.000_-;\-&quot;R$&quot;\ * #,##0.000_-;_-&quot;R$&quot;\ * &quot;-&quot;??_-;_-@_-"/>
    <numFmt numFmtId="180" formatCode="_-&quot;R$&quot;\ * #,##0.0_-;\-&quot;R$&quot;\ * #,##0.0_-;_-&quot;R$&quot;\ * &quot;-&quot;??_-;_-@_-"/>
  </numFmts>
  <fonts count="7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rgb="FF000000"/>
      <name val="Franklin Gothic Book"/>
      <family val="2"/>
    </font>
    <font>
      <sz val="11"/>
      <color theme="1"/>
      <name val="Franklin Gothic Book"/>
      <family val="2"/>
    </font>
    <font>
      <sz val="11"/>
      <color rgb="FF000000"/>
      <name val="Franklin Gothic Book"/>
      <family val="2"/>
    </font>
    <font>
      <b/>
      <sz val="11"/>
      <color theme="1"/>
      <name val="Franklin Gothic Book"/>
      <family val="2"/>
    </font>
    <font>
      <sz val="11"/>
      <name val="Franklin Gothic Book"/>
      <family val="2"/>
    </font>
    <font>
      <sz val="11"/>
      <color rgb="FFFF0000"/>
      <name val="Franklin Gothic Book"/>
      <family val="2"/>
    </font>
    <font>
      <b/>
      <sz val="9"/>
      <color indexed="81"/>
      <name val="Segoe UI"/>
      <family val="2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4"/>
      <color theme="1"/>
      <name val="Times New Roman"/>
      <family val="1"/>
    </font>
    <font>
      <sz val="12"/>
      <color theme="1"/>
      <name val="Times New Roman"/>
      <family val="1"/>
    </font>
    <font>
      <sz val="11"/>
      <name val="Calibri"/>
      <family val="2"/>
      <scheme val="minor"/>
    </font>
    <font>
      <b/>
      <sz val="11"/>
      <name val="Franklin Gothic Book"/>
      <family val="2"/>
    </font>
    <font>
      <b/>
      <sz val="12"/>
      <color theme="1"/>
      <name val="Times New Roman"/>
      <family val="1"/>
    </font>
    <font>
      <sz val="12"/>
      <color rgb="FF000000"/>
      <name val="Times New Roman"/>
      <family val="1"/>
    </font>
    <font>
      <i/>
      <sz val="11"/>
      <name val="Franklin Gothic Book"/>
      <family val="2"/>
    </font>
    <font>
      <i/>
      <sz val="11"/>
      <color theme="1"/>
      <name val="Franklin Gothic Book"/>
      <family val="2"/>
    </font>
    <font>
      <i/>
      <sz val="11"/>
      <color rgb="FF000000"/>
      <name val="Franklin Gothic Book"/>
      <family val="2"/>
    </font>
    <font>
      <sz val="9"/>
      <color theme="1"/>
      <name val="Franklin Gothic Book"/>
      <family val="2"/>
    </font>
    <font>
      <b/>
      <sz val="11"/>
      <color rgb="FFFF0000"/>
      <name val="Franklin Gothic Book"/>
      <family val="2"/>
    </font>
    <font>
      <sz val="11"/>
      <color rgb="FFFF0000"/>
      <name val="Calibri"/>
      <family val="2"/>
      <scheme val="minor"/>
    </font>
    <font>
      <sz val="9"/>
      <color indexed="81"/>
      <name val="Segoe UI"/>
      <family val="2"/>
    </font>
    <font>
      <sz val="10"/>
      <color theme="1"/>
      <name val="Franklin Gothic Book"/>
      <family val="2"/>
    </font>
    <font>
      <sz val="10"/>
      <color rgb="FF000000"/>
      <name val="Franklin Gothic Book"/>
      <family val="2"/>
    </font>
    <font>
      <sz val="10"/>
      <name val="Franklin Gothic Book"/>
      <family val="2"/>
    </font>
    <font>
      <sz val="10"/>
      <color rgb="FFFF0000"/>
      <name val="Franklin Gothic Book"/>
      <family val="2"/>
    </font>
    <font>
      <b/>
      <sz val="10.5"/>
      <color rgb="FF000000"/>
      <name val="Arial"/>
      <family val="2"/>
    </font>
    <font>
      <sz val="11"/>
      <color rgb="FF000000"/>
      <name val="Arial"/>
      <family val="2"/>
    </font>
    <font>
      <sz val="10.5"/>
      <color rgb="FF000000"/>
      <name val="Arial"/>
      <family val="2"/>
    </font>
    <font>
      <sz val="11"/>
      <color rgb="FFFF0000"/>
      <name val="Arial"/>
      <family val="2"/>
    </font>
    <font>
      <sz val="10.5"/>
      <color rgb="FFFF0000"/>
      <name val="Arial"/>
      <family val="2"/>
    </font>
    <font>
      <i/>
      <sz val="11"/>
      <color rgb="FFFF0000"/>
      <name val="Arial"/>
      <family val="2"/>
    </font>
    <font>
      <sz val="11"/>
      <color rgb="FF4472C4"/>
      <name val="Arial"/>
      <family val="2"/>
    </font>
    <font>
      <sz val="10.5"/>
      <color rgb="FF4472C4"/>
      <name val="Arial"/>
      <family val="2"/>
    </font>
    <font>
      <sz val="11"/>
      <color rgb="FFC65911"/>
      <name val="Arial"/>
      <family val="2"/>
    </font>
    <font>
      <sz val="10.5"/>
      <color rgb="FFC65911"/>
      <name val="Arial"/>
      <family val="2"/>
    </font>
    <font>
      <i/>
      <sz val="11"/>
      <color rgb="FF000000"/>
      <name val="Arial"/>
      <family val="2"/>
    </font>
    <font>
      <sz val="11"/>
      <name val="Arial"/>
      <family val="2"/>
    </font>
    <font>
      <i/>
      <sz val="11"/>
      <name val="Arial"/>
      <family val="2"/>
    </font>
    <font>
      <sz val="11"/>
      <color theme="9" tint="-0.249977111117893"/>
      <name val="Arial"/>
      <family val="2"/>
    </font>
    <font>
      <sz val="10"/>
      <color theme="9" tint="-0.249977111117893"/>
      <name val="Franklin Gothic Book"/>
      <family val="2"/>
    </font>
    <font>
      <i/>
      <sz val="11"/>
      <color theme="9" tint="-0.249977111117893"/>
      <name val="Arial"/>
      <family val="2"/>
    </font>
    <font>
      <sz val="9"/>
      <color rgb="FFFF0000"/>
      <name val="Arial"/>
      <family val="2"/>
    </font>
    <font>
      <b/>
      <sz val="11"/>
      <color rgb="FFFF0000"/>
      <name val="Arial"/>
      <family val="2"/>
    </font>
    <font>
      <sz val="8"/>
      <color theme="1"/>
      <name val="Calibri"/>
      <family val="2"/>
      <scheme val="minor"/>
    </font>
    <font>
      <sz val="9"/>
      <color theme="1"/>
      <name val="Arial"/>
      <family val="2"/>
    </font>
    <font>
      <sz val="7"/>
      <color theme="1"/>
      <name val="Arial"/>
      <family val="2"/>
    </font>
    <font>
      <sz val="7.5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color rgb="FF111111"/>
      <name val="Arial"/>
      <family val="2"/>
    </font>
    <font>
      <sz val="8"/>
      <color rgb="FF1C1C1C"/>
      <name val="Arial"/>
      <family val="2"/>
    </font>
    <font>
      <sz val="6"/>
      <color theme="1"/>
      <name val="Times New Roman"/>
      <family val="1"/>
    </font>
    <font>
      <sz val="8"/>
      <color rgb="FF1F1F1F"/>
      <name val="Arial"/>
      <family val="2"/>
    </font>
    <font>
      <sz val="9"/>
      <color theme="1"/>
      <name val="Times New Roman"/>
      <family val="1"/>
    </font>
    <font>
      <sz val="7.5"/>
      <color rgb="FF212121"/>
      <name val="Arial"/>
      <family val="2"/>
    </font>
    <font>
      <b/>
      <sz val="7"/>
      <color theme="1"/>
      <name val="Arial"/>
      <family val="2"/>
    </font>
    <font>
      <sz val="7"/>
      <color rgb="FF1D1D1D"/>
      <name val="Arial"/>
      <family val="2"/>
    </font>
    <font>
      <sz val="7"/>
      <color rgb="FF1C1C1C"/>
      <name val="Arial"/>
      <family val="2"/>
    </font>
    <font>
      <sz val="7"/>
      <color rgb="FF212121"/>
      <name val="Arial"/>
      <family val="2"/>
    </font>
    <font>
      <sz val="7.5"/>
      <color rgb="FF1D1D1D"/>
      <name val="Arial"/>
      <family val="2"/>
    </font>
    <font>
      <sz val="7.5"/>
      <color rgb="FF111111"/>
      <name val="Arial"/>
      <family val="2"/>
    </font>
    <font>
      <sz val="7.5"/>
      <color rgb="FF1F1F1F"/>
      <name val="Arial"/>
      <family val="2"/>
    </font>
    <font>
      <sz val="7"/>
      <color rgb="FF232323"/>
      <name val="Arial"/>
      <family val="2"/>
    </font>
    <font>
      <sz val="7"/>
      <color rgb="FF1A1A1A"/>
      <name val="Arial"/>
      <family val="2"/>
    </font>
    <font>
      <sz val="7"/>
      <color rgb="FF2A2A2A"/>
      <name val="Arial"/>
      <family val="2"/>
    </font>
    <font>
      <sz val="7.5"/>
      <color rgb="FF1C1C1C"/>
      <name val="Arial"/>
      <family val="2"/>
    </font>
    <font>
      <b/>
      <sz val="7.5"/>
      <color theme="1"/>
      <name val="Arial"/>
      <family val="2"/>
    </font>
    <font>
      <sz val="7.5"/>
      <color rgb="FF131313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EFED6"/>
        <bgColor indexed="64"/>
      </patternFill>
    </fill>
    <fill>
      <patternFill patternType="solid">
        <fgColor rgb="FFFFF6D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0000"/>
        <bgColor rgb="FF000000"/>
      </patternFill>
    </fill>
    <fill>
      <patternFill patternType="solid">
        <fgColor theme="2"/>
        <bgColor indexed="64"/>
      </patternFill>
    </fill>
  </fills>
  <borders count="95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rgb="FF383838"/>
      </left>
      <right/>
      <top style="medium">
        <color rgb="FF383838"/>
      </top>
      <bottom/>
      <diagonal/>
    </border>
    <border>
      <left/>
      <right style="medium">
        <color rgb="FF383838"/>
      </right>
      <top style="medium">
        <color rgb="FF383838"/>
      </top>
      <bottom/>
      <diagonal/>
    </border>
    <border>
      <left/>
      <right/>
      <top style="medium">
        <color rgb="FF383838"/>
      </top>
      <bottom/>
      <diagonal/>
    </border>
    <border>
      <left style="medium">
        <color rgb="FF383838"/>
      </left>
      <right/>
      <top/>
      <bottom/>
      <diagonal/>
    </border>
    <border>
      <left/>
      <right style="medium">
        <color rgb="FF383838"/>
      </right>
      <top/>
      <bottom/>
      <diagonal/>
    </border>
    <border>
      <left style="medium">
        <color rgb="FF383838"/>
      </left>
      <right/>
      <top/>
      <bottom style="medium">
        <color rgb="FF383838"/>
      </bottom>
      <diagonal/>
    </border>
    <border>
      <left/>
      <right/>
      <top/>
      <bottom style="medium">
        <color rgb="FF383838"/>
      </bottom>
      <diagonal/>
    </border>
    <border>
      <left/>
      <right style="medium">
        <color rgb="FF383838"/>
      </right>
      <top/>
      <bottom style="medium">
        <color rgb="FF383838"/>
      </bottom>
      <diagonal/>
    </border>
    <border>
      <left style="medium">
        <color rgb="FF383838"/>
      </left>
      <right style="medium">
        <color rgb="FF383838"/>
      </right>
      <top style="medium">
        <color rgb="FF383838"/>
      </top>
      <bottom/>
      <diagonal/>
    </border>
    <border>
      <left style="medium">
        <color rgb="FF383838"/>
      </left>
      <right style="medium">
        <color rgb="FF383838"/>
      </right>
      <top/>
      <bottom style="medium">
        <color rgb="FF383838"/>
      </bottom>
      <diagonal/>
    </border>
    <border>
      <left style="medium">
        <color rgb="FF383838"/>
      </left>
      <right style="medium">
        <color rgb="FF383838"/>
      </right>
      <top/>
      <bottom/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724">
    <xf numFmtId="0" fontId="0" fillId="0" borderId="0" xfId="0"/>
    <xf numFmtId="44" fontId="5" fillId="0" borderId="3" xfId="2" applyFont="1" applyBorder="1" applyAlignment="1">
      <alignment vertical="center"/>
    </xf>
    <xf numFmtId="0" fontId="0" fillId="0" borderId="32" xfId="0" applyBorder="1" applyAlignment="1">
      <alignment vertical="center" wrapText="1"/>
    </xf>
    <xf numFmtId="0" fontId="0" fillId="0" borderId="36" xfId="0" applyBorder="1" applyAlignment="1">
      <alignment vertical="center" wrapText="1"/>
    </xf>
    <xf numFmtId="0" fontId="0" fillId="0" borderId="15" xfId="0" applyBorder="1" applyAlignment="1">
      <alignment horizontal="center" vertical="center" wrapText="1"/>
    </xf>
    <xf numFmtId="1" fontId="0" fillId="0" borderId="9" xfId="1" applyNumberFormat="1" applyFont="1" applyBorder="1" applyAlignment="1" applyProtection="1">
      <alignment horizontal="center" vertical="center" wrapText="1"/>
    </xf>
    <xf numFmtId="0" fontId="0" fillId="0" borderId="3" xfId="0" applyBorder="1"/>
    <xf numFmtId="44" fontId="0" fillId="0" borderId="0" xfId="0" applyNumberFormat="1"/>
    <xf numFmtId="168" fontId="0" fillId="0" borderId="0" xfId="3" applyNumberFormat="1" applyFont="1"/>
    <xf numFmtId="0" fontId="0" fillId="11" borderId="3" xfId="0" applyFill="1" applyBorder="1" applyAlignment="1">
      <alignment horizontal="center"/>
    </xf>
    <xf numFmtId="164" fontId="0" fillId="0" borderId="3" xfId="0" applyNumberFormat="1" applyBorder="1"/>
    <xf numFmtId="164" fontId="0" fillId="0" borderId="0" xfId="6" applyFont="1"/>
    <xf numFmtId="164" fontId="0" fillId="11" borderId="3" xfId="6" applyFont="1" applyFill="1" applyBorder="1" applyAlignment="1">
      <alignment horizontal="center"/>
    </xf>
    <xf numFmtId="164" fontId="0" fillId="0" borderId="3" xfId="6" applyFont="1" applyBorder="1"/>
    <xf numFmtId="0" fontId="10" fillId="0" borderId="25" xfId="0" applyFont="1" applyBorder="1" applyAlignment="1">
      <alignment horizontal="center" vertical="center" wrapText="1"/>
    </xf>
    <xf numFmtId="0" fontId="10" fillId="0" borderId="34" xfId="0" applyFont="1" applyBorder="1" applyAlignment="1">
      <alignment horizontal="center" vertical="center" wrapText="1"/>
    </xf>
    <xf numFmtId="0" fontId="10" fillId="0" borderId="35" xfId="0" applyFont="1" applyBorder="1" applyAlignment="1">
      <alignment horizontal="center" vertical="center" wrapText="1"/>
    </xf>
    <xf numFmtId="0" fontId="0" fillId="5" borderId="0" xfId="0" applyFill="1"/>
    <xf numFmtId="0" fontId="0" fillId="8" borderId="0" xfId="0" applyFill="1"/>
    <xf numFmtId="0" fontId="16" fillId="9" borderId="7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167" fontId="13" fillId="2" borderId="7" xfId="0" applyNumberFormat="1" applyFont="1" applyFill="1" applyBorder="1" applyAlignment="1">
      <alignment horizontal="center" vertical="center" wrapText="1"/>
    </xf>
    <xf numFmtId="167" fontId="13" fillId="9" borderId="7" xfId="0" applyNumberFormat="1" applyFont="1" applyFill="1" applyBorder="1" applyAlignment="1">
      <alignment horizontal="center" vertical="center" wrapText="1"/>
    </xf>
    <xf numFmtId="167" fontId="0" fillId="8" borderId="0" xfId="0" applyNumberFormat="1" applyFill="1"/>
    <xf numFmtId="0" fontId="4" fillId="5" borderId="0" xfId="0" applyFont="1" applyFill="1"/>
    <xf numFmtId="0" fontId="5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0" fontId="7" fillId="0" borderId="3" xfId="0" applyFont="1" applyBorder="1" applyAlignment="1">
      <alignment vertical="center"/>
    </xf>
    <xf numFmtId="9" fontId="5" fillId="0" borderId="3" xfId="0" applyNumberFormat="1" applyFont="1" applyBorder="1" applyAlignment="1">
      <alignment horizontal="center" vertical="center"/>
    </xf>
    <xf numFmtId="10" fontId="5" fillId="2" borderId="3" xfId="3" applyNumberFormat="1" applyFont="1" applyFill="1" applyBorder="1" applyAlignment="1" applyProtection="1">
      <alignment horizontal="center" vertical="center"/>
    </xf>
    <xf numFmtId="10" fontId="3" fillId="4" borderId="3" xfId="3" applyNumberFormat="1" applyFont="1" applyFill="1" applyBorder="1" applyAlignment="1" applyProtection="1">
      <alignment horizontal="center" vertical="center"/>
    </xf>
    <xf numFmtId="0" fontId="4" fillId="0" borderId="3" xfId="0" applyFont="1" applyBorder="1" applyAlignment="1">
      <alignment vertical="center" wrapText="1"/>
    </xf>
    <xf numFmtId="10" fontId="7" fillId="2" borderId="8" xfId="5" applyNumberFormat="1" applyFont="1" applyFill="1" applyBorder="1" applyAlignment="1">
      <alignment horizontal="center" vertical="center"/>
    </xf>
    <xf numFmtId="10" fontId="3" fillId="4" borderId="4" xfId="3" applyNumberFormat="1" applyFont="1" applyFill="1" applyBorder="1" applyAlignment="1" applyProtection="1">
      <alignment horizontal="center" vertical="center"/>
    </xf>
    <xf numFmtId="10" fontId="5" fillId="0" borderId="4" xfId="3" applyNumberFormat="1" applyFont="1" applyBorder="1" applyAlignment="1" applyProtection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right" vertical="center"/>
    </xf>
    <xf numFmtId="0" fontId="5" fillId="2" borderId="3" xfId="0" applyFont="1" applyFill="1" applyBorder="1" applyAlignment="1">
      <alignment horizontal="center" vertical="center" wrapText="1"/>
    </xf>
    <xf numFmtId="9" fontId="5" fillId="2" borderId="3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center" vertical="center"/>
    </xf>
    <xf numFmtId="1" fontId="5" fillId="2" borderId="3" xfId="0" applyNumberFormat="1" applyFont="1" applyFill="1" applyBorder="1" applyAlignment="1">
      <alignment horizontal="center" vertical="center"/>
    </xf>
    <xf numFmtId="169" fontId="5" fillId="2" borderId="3" xfId="0" applyNumberFormat="1" applyFont="1" applyFill="1" applyBorder="1" applyAlignment="1">
      <alignment horizontal="center" vertical="center"/>
    </xf>
    <xf numFmtId="10" fontId="7" fillId="2" borderId="3" xfId="0" applyNumberFormat="1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165" fontId="7" fillId="2" borderId="3" xfId="0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10" fontId="5" fillId="0" borderId="3" xfId="3" applyNumberFormat="1" applyFont="1" applyBorder="1" applyAlignment="1" applyProtection="1">
      <alignment horizontal="center" vertical="center"/>
    </xf>
    <xf numFmtId="10" fontId="5" fillId="2" borderId="4" xfId="3" applyNumberFormat="1" applyFont="1" applyFill="1" applyBorder="1" applyAlignment="1" applyProtection="1">
      <alignment horizontal="center" vertical="center"/>
    </xf>
    <xf numFmtId="10" fontId="5" fillId="2" borderId="4" xfId="3" applyNumberFormat="1" applyFont="1" applyFill="1" applyBorder="1" applyAlignment="1" applyProtection="1">
      <alignment vertical="center"/>
    </xf>
    <xf numFmtId="10" fontId="5" fillId="0" borderId="3" xfId="3" applyNumberFormat="1" applyFont="1" applyBorder="1" applyAlignment="1" applyProtection="1">
      <alignment vertical="center"/>
    </xf>
    <xf numFmtId="10" fontId="3" fillId="4" borderId="3" xfId="3" applyNumberFormat="1" applyFont="1" applyFill="1" applyBorder="1" applyAlignment="1" applyProtection="1">
      <alignment vertical="center"/>
    </xf>
    <xf numFmtId="0" fontId="3" fillId="4" borderId="5" xfId="0" applyFont="1" applyFill="1" applyBorder="1" applyAlignment="1">
      <alignment horizontal="center" vertical="center"/>
    </xf>
    <xf numFmtId="0" fontId="4" fillId="12" borderId="3" xfId="0" applyFont="1" applyFill="1" applyBorder="1" applyAlignment="1" applyProtection="1">
      <alignment horizontal="left" vertical="justify"/>
      <protection locked="0"/>
    </xf>
    <xf numFmtId="9" fontId="4" fillId="12" borderId="3" xfId="3" applyFont="1" applyFill="1" applyBorder="1" applyAlignment="1" applyProtection="1">
      <alignment horizontal="center" vertical="justify"/>
      <protection locked="0"/>
    </xf>
    <xf numFmtId="167" fontId="13" fillId="2" borderId="44" xfId="0" applyNumberFormat="1" applyFont="1" applyFill="1" applyBorder="1" applyAlignment="1">
      <alignment horizontal="center" vertical="center" wrapText="1"/>
    </xf>
    <xf numFmtId="170" fontId="5" fillId="13" borderId="3" xfId="0" applyNumberFormat="1" applyFont="1" applyFill="1" applyBorder="1" applyAlignment="1">
      <alignment horizontal="right" vertical="center"/>
    </xf>
    <xf numFmtId="170" fontId="5" fillId="8" borderId="3" xfId="0" applyNumberFormat="1" applyFont="1" applyFill="1" applyBorder="1" applyAlignment="1">
      <alignment horizontal="right" vertical="center"/>
    </xf>
    <xf numFmtId="1" fontId="13" fillId="12" borderId="7" xfId="0" applyNumberFormat="1" applyFont="1" applyFill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0" fontId="16" fillId="9" borderId="18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vertical="center"/>
    </xf>
    <xf numFmtId="0" fontId="3" fillId="4" borderId="3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10" fontId="7" fillId="12" borderId="8" xfId="3" applyNumberFormat="1" applyFont="1" applyFill="1" applyBorder="1" applyAlignment="1" applyProtection="1">
      <alignment horizontal="center" vertical="center"/>
      <protection locked="0"/>
    </xf>
    <xf numFmtId="10" fontId="3" fillId="12" borderId="3" xfId="3" applyNumberFormat="1" applyFont="1" applyFill="1" applyBorder="1" applyAlignment="1" applyProtection="1">
      <alignment horizontal="center" vertical="center"/>
      <protection locked="0"/>
    </xf>
    <xf numFmtId="10" fontId="5" fillId="12" borderId="3" xfId="0" applyNumberFormat="1" applyFont="1" applyFill="1" applyBorder="1" applyAlignment="1" applyProtection="1">
      <alignment horizontal="center" vertical="center"/>
      <protection locked="0"/>
    </xf>
    <xf numFmtId="10" fontId="5" fillId="12" borderId="4" xfId="3" applyNumberFormat="1" applyFont="1" applyFill="1" applyBorder="1" applyAlignment="1" applyProtection="1">
      <alignment horizontal="center" vertical="center"/>
      <protection locked="0"/>
    </xf>
    <xf numFmtId="10" fontId="5" fillId="12" borderId="4" xfId="3" applyNumberFormat="1" applyFont="1" applyFill="1" applyBorder="1" applyAlignment="1" applyProtection="1">
      <alignment vertical="center"/>
      <protection locked="0"/>
    </xf>
    <xf numFmtId="171" fontId="4" fillId="0" borderId="3" xfId="0" applyNumberFormat="1" applyFont="1" applyBorder="1" applyAlignment="1">
      <alignment horizontal="center" vertical="center"/>
    </xf>
    <xf numFmtId="10" fontId="5" fillId="8" borderId="3" xfId="0" applyNumberFormat="1" applyFont="1" applyFill="1" applyBorder="1" applyAlignment="1">
      <alignment horizontal="center" vertical="center"/>
    </xf>
    <xf numFmtId="0" fontId="4" fillId="12" borderId="3" xfId="0" applyFont="1" applyFill="1" applyBorder="1" applyAlignment="1" applyProtection="1">
      <alignment horizontal="center" vertical="justify"/>
      <protection locked="0"/>
    </xf>
    <xf numFmtId="14" fontId="7" fillId="12" borderId="3" xfId="0" applyNumberFormat="1" applyFont="1" applyFill="1" applyBorder="1" applyAlignment="1" applyProtection="1">
      <alignment horizontal="center" vertical="center"/>
      <protection locked="0"/>
    </xf>
    <xf numFmtId="0" fontId="4" fillId="12" borderId="3" xfId="0" applyFont="1" applyFill="1" applyBorder="1" applyAlignment="1" applyProtection="1">
      <alignment vertical="center" wrapText="1"/>
      <protection locked="0"/>
    </xf>
    <xf numFmtId="0" fontId="4" fillId="12" borderId="3" xfId="0" applyFont="1" applyFill="1" applyBorder="1" applyAlignment="1" applyProtection="1">
      <alignment vertical="center"/>
      <protection locked="0"/>
    </xf>
    <xf numFmtId="10" fontId="5" fillId="2" borderId="4" xfId="3" applyNumberFormat="1" applyFont="1" applyFill="1" applyBorder="1" applyAlignment="1" applyProtection="1">
      <alignment horizontal="center" vertical="center"/>
      <protection locked="0"/>
    </xf>
    <xf numFmtId="0" fontId="5" fillId="0" borderId="3" xfId="0" applyFont="1" applyBorder="1" applyAlignment="1">
      <alignment horizontal="right" vertical="center" indent="2"/>
    </xf>
    <xf numFmtId="9" fontId="5" fillId="12" borderId="3" xfId="3" applyFont="1" applyFill="1" applyBorder="1" applyAlignment="1" applyProtection="1">
      <alignment horizontal="center" vertical="center"/>
    </xf>
    <xf numFmtId="166" fontId="5" fillId="2" borderId="3" xfId="3" applyNumberFormat="1" applyFont="1" applyFill="1" applyBorder="1" applyAlignment="1" applyProtection="1">
      <alignment horizontal="center" vertical="center"/>
    </xf>
    <xf numFmtId="0" fontId="5" fillId="2" borderId="3" xfId="0" applyFont="1" applyFill="1" applyBorder="1" applyAlignment="1">
      <alignment horizontal="left" vertical="center" indent="8"/>
    </xf>
    <xf numFmtId="0" fontId="5" fillId="2" borderId="3" xfId="0" applyFont="1" applyFill="1" applyBorder="1" applyAlignment="1">
      <alignment vertical="center"/>
    </xf>
    <xf numFmtId="1" fontId="5" fillId="14" borderId="3" xfId="0" applyNumberFormat="1" applyFont="1" applyFill="1" applyBorder="1" applyAlignment="1">
      <alignment horizontal="center" vertical="center"/>
    </xf>
    <xf numFmtId="0" fontId="7" fillId="2" borderId="3" xfId="0" applyFont="1" applyFill="1" applyBorder="1" applyAlignment="1">
      <alignment vertical="center"/>
    </xf>
    <xf numFmtId="1" fontId="5" fillId="14" borderId="3" xfId="3" applyNumberFormat="1" applyFont="1" applyFill="1" applyBorder="1" applyAlignment="1">
      <alignment horizontal="center" vertical="center"/>
    </xf>
    <xf numFmtId="169" fontId="5" fillId="14" borderId="3" xfId="3" applyNumberFormat="1" applyFont="1" applyFill="1" applyBorder="1" applyAlignment="1">
      <alignment horizontal="center" vertical="center"/>
    </xf>
    <xf numFmtId="1" fontId="3" fillId="4" borderId="3" xfId="0" applyNumberFormat="1" applyFont="1" applyFill="1" applyBorder="1" applyAlignment="1">
      <alignment horizontal="center" vertical="center"/>
    </xf>
    <xf numFmtId="1" fontId="7" fillId="12" borderId="3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vertical="center" wrapText="1"/>
    </xf>
    <xf numFmtId="0" fontId="19" fillId="2" borderId="3" xfId="0" applyFont="1" applyFill="1" applyBorder="1" applyAlignment="1">
      <alignment vertical="center" wrapText="1"/>
    </xf>
    <xf numFmtId="10" fontId="20" fillId="2" borderId="4" xfId="3" applyNumberFormat="1" applyFont="1" applyFill="1" applyBorder="1" applyAlignment="1" applyProtection="1">
      <alignment horizontal="center" vertical="center"/>
    </xf>
    <xf numFmtId="10" fontId="5" fillId="12" borderId="4" xfId="3" applyNumberFormat="1" applyFont="1" applyFill="1" applyBorder="1" applyAlignment="1" applyProtection="1">
      <alignment horizontal="center" vertical="center"/>
    </xf>
    <xf numFmtId="0" fontId="5" fillId="2" borderId="4" xfId="3" applyNumberFormat="1" applyFont="1" applyFill="1" applyBorder="1" applyAlignment="1" applyProtection="1">
      <alignment horizontal="center" vertical="center"/>
    </xf>
    <xf numFmtId="10" fontId="5" fillId="8" borderId="4" xfId="3" applyNumberFormat="1" applyFont="1" applyFill="1" applyBorder="1" applyAlignment="1" applyProtection="1">
      <alignment horizontal="center" vertical="center"/>
    </xf>
    <xf numFmtId="10" fontId="4" fillId="0" borderId="3" xfId="0" applyNumberFormat="1" applyFont="1" applyBorder="1" applyAlignment="1">
      <alignment horizontal="center" vertical="center"/>
    </xf>
    <xf numFmtId="10" fontId="8" fillId="0" borderId="3" xfId="0" applyNumberFormat="1" applyFont="1" applyBorder="1" applyAlignment="1">
      <alignment horizontal="center" vertical="center"/>
    </xf>
    <xf numFmtId="10" fontId="5" fillId="2" borderId="3" xfId="3" applyNumberFormat="1" applyFont="1" applyFill="1" applyBorder="1" applyAlignment="1" applyProtection="1">
      <alignment horizontal="center" vertical="center"/>
      <protection locked="0"/>
    </xf>
    <xf numFmtId="0" fontId="0" fillId="0" borderId="12" xfId="0" applyBorder="1" applyAlignment="1">
      <alignment horizontal="center" vertical="center" wrapText="1"/>
    </xf>
    <xf numFmtId="8" fontId="0" fillId="0" borderId="12" xfId="0" applyNumberFormat="1" applyBorder="1" applyAlignment="1">
      <alignment horizontal="center" vertical="center" wrapText="1"/>
    </xf>
    <xf numFmtId="8" fontId="0" fillId="0" borderId="33" xfId="0" applyNumberForma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8" fontId="0" fillId="0" borderId="31" xfId="0" applyNumberFormat="1" applyBorder="1" applyAlignment="1">
      <alignment horizontal="center" vertical="center" wrapText="1"/>
    </xf>
    <xf numFmtId="44" fontId="4" fillId="12" borderId="3" xfId="2" applyFont="1" applyFill="1" applyBorder="1" applyAlignment="1" applyProtection="1">
      <alignment horizontal="center"/>
      <protection locked="0"/>
    </xf>
    <xf numFmtId="44" fontId="5" fillId="0" borderId="3" xfId="2" applyFont="1" applyBorder="1" applyAlignment="1" applyProtection="1">
      <alignment horizontal="right" vertical="center"/>
    </xf>
    <xf numFmtId="44" fontId="5" fillId="0" borderId="3" xfId="2" applyFont="1" applyBorder="1" applyAlignment="1" applyProtection="1">
      <alignment vertical="center"/>
    </xf>
    <xf numFmtId="44" fontId="5" fillId="2" borderId="3" xfId="2" applyFont="1" applyFill="1" applyBorder="1" applyAlignment="1">
      <alignment vertical="center"/>
    </xf>
    <xf numFmtId="44" fontId="5" fillId="12" borderId="3" xfId="2" applyFont="1" applyFill="1" applyBorder="1" applyAlignment="1" applyProtection="1">
      <alignment vertical="center"/>
      <protection locked="0"/>
    </xf>
    <xf numFmtId="44" fontId="3" fillId="4" borderId="3" xfId="2" applyFont="1" applyFill="1" applyBorder="1" applyAlignment="1" applyProtection="1">
      <alignment vertical="center"/>
    </xf>
    <xf numFmtId="8" fontId="3" fillId="4" borderId="3" xfId="0" applyNumberFormat="1" applyFont="1" applyFill="1" applyBorder="1" applyAlignment="1">
      <alignment horizontal="left" vertical="center"/>
    </xf>
    <xf numFmtId="8" fontId="3" fillId="4" borderId="3" xfId="0" applyNumberFormat="1" applyFont="1" applyFill="1" applyBorder="1" applyAlignment="1">
      <alignment horizontal="center" vertical="center"/>
    </xf>
    <xf numFmtId="8" fontId="5" fillId="0" borderId="5" xfId="0" applyNumberFormat="1" applyFont="1" applyBorder="1" applyAlignment="1">
      <alignment horizontal="center" vertical="center"/>
    </xf>
    <xf numFmtId="44" fontId="7" fillId="0" borderId="3" xfId="2" applyFont="1" applyBorder="1" applyAlignment="1" applyProtection="1">
      <alignment vertical="center"/>
    </xf>
    <xf numFmtId="8" fontId="5" fillId="0" borderId="3" xfId="0" applyNumberFormat="1" applyFont="1" applyBorder="1" applyAlignment="1">
      <alignment horizontal="center" vertical="center"/>
    </xf>
    <xf numFmtId="8" fontId="5" fillId="0" borderId="3" xfId="0" applyNumberFormat="1" applyFont="1" applyBorder="1" applyAlignment="1">
      <alignment horizontal="left" vertical="center"/>
    </xf>
    <xf numFmtId="1" fontId="5" fillId="12" borderId="3" xfId="2" applyNumberFormat="1" applyFont="1" applyFill="1" applyBorder="1" applyAlignment="1" applyProtection="1">
      <alignment horizontal="center" vertical="center"/>
    </xf>
    <xf numFmtId="44" fontId="3" fillId="4" borderId="3" xfId="2" applyFont="1" applyFill="1" applyBorder="1" applyAlignment="1" applyProtection="1">
      <alignment horizontal="right" vertical="center"/>
    </xf>
    <xf numFmtId="8" fontId="3" fillId="4" borderId="6" xfId="0" applyNumberFormat="1" applyFont="1" applyFill="1" applyBorder="1" applyAlignment="1">
      <alignment horizontal="left" vertical="center"/>
    </xf>
    <xf numFmtId="8" fontId="3" fillId="4" borderId="3" xfId="0" applyNumberFormat="1" applyFont="1" applyFill="1" applyBorder="1" applyAlignment="1">
      <alignment horizontal="right" vertical="center"/>
    </xf>
    <xf numFmtId="44" fontId="3" fillId="4" borderId="3" xfId="2" applyFont="1" applyFill="1" applyBorder="1" applyAlignment="1" applyProtection="1">
      <alignment horizontal="center" vertical="center"/>
    </xf>
    <xf numFmtId="44" fontId="5" fillId="12" borderId="4" xfId="2" applyFont="1" applyFill="1" applyBorder="1" applyAlignment="1" applyProtection="1">
      <alignment horizontal="center" vertical="center"/>
    </xf>
    <xf numFmtId="44" fontId="4" fillId="0" borderId="3" xfId="2" applyFont="1" applyBorder="1" applyAlignment="1" applyProtection="1">
      <alignment horizontal="right" vertical="center"/>
    </xf>
    <xf numFmtId="8" fontId="5" fillId="0" borderId="5" xfId="0" applyNumberFormat="1" applyFont="1" applyBorder="1" applyAlignment="1">
      <alignment horizontal="right" vertical="center"/>
    </xf>
    <xf numFmtId="0" fontId="5" fillId="2" borderId="4" xfId="1" applyNumberFormat="1" applyFont="1" applyFill="1" applyBorder="1" applyAlignment="1" applyProtection="1">
      <alignment horizontal="center" vertical="center"/>
      <protection locked="0"/>
    </xf>
    <xf numFmtId="170" fontId="5" fillId="0" borderId="3" xfId="2" applyNumberFormat="1" applyFont="1" applyBorder="1" applyAlignment="1" applyProtection="1">
      <alignment horizontal="right" vertical="center"/>
    </xf>
    <xf numFmtId="9" fontId="5" fillId="2" borderId="4" xfId="2" applyNumberFormat="1" applyFont="1" applyFill="1" applyBorder="1" applyAlignment="1" applyProtection="1">
      <alignment horizontal="center" vertical="center"/>
      <protection locked="0"/>
    </xf>
    <xf numFmtId="44" fontId="5" fillId="12" borderId="4" xfId="2" applyFont="1" applyFill="1" applyBorder="1" applyAlignment="1" applyProtection="1">
      <alignment horizontal="center" vertical="center"/>
      <protection locked="0"/>
    </xf>
    <xf numFmtId="9" fontId="5" fillId="12" borderId="4" xfId="2" applyNumberFormat="1" applyFont="1" applyFill="1" applyBorder="1" applyAlignment="1" applyProtection="1">
      <alignment horizontal="center" vertical="center"/>
      <protection locked="0"/>
    </xf>
    <xf numFmtId="10" fontId="5" fillId="12" borderId="4" xfId="2" applyNumberFormat="1" applyFont="1" applyFill="1" applyBorder="1" applyAlignment="1" applyProtection="1">
      <alignment horizontal="center" vertical="center"/>
      <protection locked="0"/>
    </xf>
    <xf numFmtId="44" fontId="4" fillId="12" borderId="3" xfId="2" applyFont="1" applyFill="1" applyBorder="1" applyAlignment="1" applyProtection="1">
      <alignment horizontal="right" vertical="center"/>
      <protection locked="0"/>
    </xf>
    <xf numFmtId="44" fontId="5" fillId="12" borderId="3" xfId="2" applyFont="1" applyFill="1" applyBorder="1" applyAlignment="1" applyProtection="1">
      <alignment horizontal="right" vertical="center"/>
      <protection locked="0"/>
    </xf>
    <xf numFmtId="44" fontId="5" fillId="2" borderId="3" xfId="0" applyNumberFormat="1" applyFont="1" applyFill="1" applyBorder="1" applyAlignment="1">
      <alignment horizontal="right" vertical="center"/>
    </xf>
    <xf numFmtId="44" fontId="7" fillId="2" borderId="3" xfId="0" applyNumberFormat="1" applyFont="1" applyFill="1" applyBorder="1" applyAlignment="1">
      <alignment horizontal="right" vertical="center"/>
    </xf>
    <xf numFmtId="44" fontId="5" fillId="2" borderId="3" xfId="2" applyFont="1" applyFill="1" applyBorder="1" applyAlignment="1" applyProtection="1">
      <alignment horizontal="right" vertical="center"/>
    </xf>
    <xf numFmtId="44" fontId="5" fillId="0" borderId="4" xfId="3" applyNumberFormat="1" applyFont="1" applyBorder="1" applyAlignment="1" applyProtection="1">
      <alignment horizontal="center" vertical="center"/>
    </xf>
    <xf numFmtId="44" fontId="5" fillId="13" borderId="3" xfId="0" applyNumberFormat="1" applyFont="1" applyFill="1" applyBorder="1" applyAlignment="1">
      <alignment horizontal="right" vertical="center"/>
    </xf>
    <xf numFmtId="8" fontId="3" fillId="4" borderId="3" xfId="2" applyNumberFormat="1" applyFont="1" applyFill="1" applyBorder="1" applyAlignment="1" applyProtection="1">
      <alignment horizontal="right" vertical="center"/>
    </xf>
    <xf numFmtId="8" fontId="5" fillId="2" borderId="5" xfId="0" applyNumberFormat="1" applyFont="1" applyFill="1" applyBorder="1" applyAlignment="1">
      <alignment horizontal="center" vertical="center"/>
    </xf>
    <xf numFmtId="6" fontId="18" fillId="2" borderId="5" xfId="0" applyNumberFormat="1" applyFont="1" applyFill="1" applyBorder="1" applyAlignment="1">
      <alignment horizontal="left" vertical="center" indent="8"/>
    </xf>
    <xf numFmtId="44" fontId="20" fillId="2" borderId="4" xfId="3" applyNumberFormat="1" applyFont="1" applyFill="1" applyBorder="1" applyAlignment="1" applyProtection="1">
      <alignment horizontal="center" vertical="center"/>
    </xf>
    <xf numFmtId="44" fontId="20" fillId="2" borderId="3" xfId="2" applyFont="1" applyFill="1" applyBorder="1" applyAlignment="1" applyProtection="1">
      <alignment horizontal="right" vertical="center"/>
    </xf>
    <xf numFmtId="44" fontId="20" fillId="2" borderId="4" xfId="2" applyFont="1" applyFill="1" applyBorder="1" applyAlignment="1" applyProtection="1">
      <alignment horizontal="center" vertical="center"/>
    </xf>
    <xf numFmtId="8" fontId="5" fillId="2" borderId="6" xfId="0" applyNumberFormat="1" applyFont="1" applyFill="1" applyBorder="1" applyAlignment="1">
      <alignment horizontal="left" vertical="center"/>
    </xf>
    <xf numFmtId="44" fontId="5" fillId="2" borderId="3" xfId="0" applyNumberFormat="1" applyFont="1" applyFill="1" applyBorder="1" applyAlignment="1">
      <alignment horizontal="center" vertical="center"/>
    </xf>
    <xf numFmtId="44" fontId="5" fillId="2" borderId="3" xfId="2" applyFont="1" applyFill="1" applyBorder="1" applyAlignment="1" applyProtection="1">
      <alignment horizontal="center" vertical="center"/>
    </xf>
    <xf numFmtId="8" fontId="5" fillId="2" borderId="3" xfId="0" applyNumberFormat="1" applyFont="1" applyFill="1" applyBorder="1" applyAlignment="1">
      <alignment horizontal="left" vertical="center"/>
    </xf>
    <xf numFmtId="44" fontId="5" fillId="8" borderId="3" xfId="2" applyFont="1" applyFill="1" applyBorder="1" applyAlignment="1" applyProtection="1">
      <alignment horizontal="center" vertical="center"/>
    </xf>
    <xf numFmtId="44" fontId="4" fillId="0" borderId="3" xfId="0" applyNumberFormat="1" applyFont="1" applyBorder="1"/>
    <xf numFmtId="8" fontId="8" fillId="2" borderId="6" xfId="0" applyNumberFormat="1" applyFont="1" applyFill="1" applyBorder="1" applyAlignment="1">
      <alignment horizontal="left" vertical="center"/>
    </xf>
    <xf numFmtId="44" fontId="8" fillId="0" borderId="3" xfId="0" applyNumberFormat="1" applyFont="1" applyBorder="1"/>
    <xf numFmtId="44" fontId="5" fillId="0" borderId="3" xfId="2" applyFont="1" applyBorder="1" applyAlignment="1" applyProtection="1">
      <alignment horizontal="center" vertical="center"/>
    </xf>
    <xf numFmtId="44" fontId="7" fillId="2" borderId="3" xfId="2" applyFont="1" applyFill="1" applyBorder="1" applyAlignment="1" applyProtection="1">
      <alignment horizontal="right" vertical="center"/>
    </xf>
    <xf numFmtId="44" fontId="3" fillId="3" borderId="4" xfId="2" applyFont="1" applyFill="1" applyBorder="1" applyAlignment="1" applyProtection="1">
      <alignment horizontal="right" vertical="center"/>
    </xf>
    <xf numFmtId="8" fontId="5" fillId="0" borderId="5" xfId="0" applyNumberFormat="1" applyFont="1" applyBorder="1" applyAlignment="1">
      <alignment horizontal="left" vertical="center"/>
    </xf>
    <xf numFmtId="44" fontId="3" fillId="7" borderId="3" xfId="2" applyFont="1" applyFill="1" applyBorder="1" applyAlignment="1" applyProtection="1">
      <alignment horizontal="right" vertical="center"/>
    </xf>
    <xf numFmtId="0" fontId="4" fillId="12" borderId="3" xfId="2" applyNumberFormat="1" applyFont="1" applyFill="1" applyBorder="1" applyAlignment="1" applyProtection="1">
      <alignment horizontal="center"/>
      <protection locked="0"/>
    </xf>
    <xf numFmtId="1" fontId="5" fillId="2" borderId="3" xfId="1" applyNumberFormat="1" applyFont="1" applyFill="1" applyBorder="1" applyAlignment="1" applyProtection="1">
      <alignment horizontal="center" vertical="center"/>
    </xf>
    <xf numFmtId="0" fontId="10" fillId="0" borderId="37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47" xfId="0" applyBorder="1" applyAlignment="1">
      <alignment horizontal="center" vertical="center" wrapText="1"/>
    </xf>
    <xf numFmtId="0" fontId="0" fillId="5" borderId="0" xfId="0" applyFill="1" applyAlignment="1">
      <alignment horizontal="center" vertical="center"/>
    </xf>
    <xf numFmtId="8" fontId="0" fillId="15" borderId="12" xfId="0" applyNumberFormat="1" applyFill="1" applyBorder="1" applyAlignment="1" applyProtection="1">
      <alignment horizontal="center" vertical="center" wrapText="1"/>
      <protection locked="0"/>
    </xf>
    <xf numFmtId="8" fontId="14" fillId="15" borderId="24" xfId="0" applyNumberFormat="1" applyFont="1" applyFill="1" applyBorder="1" applyAlignment="1" applyProtection="1">
      <alignment horizontal="center" vertical="center" wrapText="1"/>
      <protection locked="0"/>
    </xf>
    <xf numFmtId="8" fontId="10" fillId="7" borderId="7" xfId="0" applyNumberFormat="1" applyFont="1" applyFill="1" applyBorder="1" applyAlignment="1">
      <alignment horizontal="center" wrapText="1"/>
    </xf>
    <xf numFmtId="167" fontId="0" fillId="7" borderId="9" xfId="2" applyNumberFormat="1" applyFont="1" applyFill="1" applyBorder="1" applyAlignment="1" applyProtection="1">
      <alignment horizontal="center" vertical="center" wrapText="1"/>
    </xf>
    <xf numFmtId="0" fontId="21" fillId="12" borderId="3" xfId="0" applyFont="1" applyFill="1" applyBorder="1" applyAlignment="1" applyProtection="1">
      <alignment horizontal="center" vertical="justify"/>
      <protection locked="0"/>
    </xf>
    <xf numFmtId="44" fontId="0" fillId="0" borderId="0" xfId="2" applyFont="1"/>
    <xf numFmtId="172" fontId="0" fillId="0" borderId="0" xfId="1" applyNumberFormat="1" applyFont="1"/>
    <xf numFmtId="44" fontId="5" fillId="16" borderId="3" xfId="0" applyNumberFormat="1" applyFont="1" applyFill="1" applyBorder="1" applyAlignment="1">
      <alignment horizontal="right" vertical="center"/>
    </xf>
    <xf numFmtId="44" fontId="5" fillId="16" borderId="3" xfId="2" applyFont="1" applyFill="1" applyBorder="1" applyAlignment="1" applyProtection="1">
      <alignment horizontal="right" vertical="center"/>
    </xf>
    <xf numFmtId="0" fontId="3" fillId="0" borderId="32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5" fillId="0" borderId="54" xfId="0" applyFont="1" applyBorder="1" applyAlignment="1">
      <alignment horizontal="center" vertical="center" wrapText="1"/>
    </xf>
    <xf numFmtId="44" fontId="5" fillId="0" borderId="43" xfId="2" applyFont="1" applyBorder="1" applyAlignment="1">
      <alignment horizontal="center" vertical="center" wrapText="1"/>
    </xf>
    <xf numFmtId="2" fontId="13" fillId="12" borderId="7" xfId="0" applyNumberFormat="1" applyFont="1" applyFill="1" applyBorder="1" applyAlignment="1">
      <alignment horizontal="center" vertical="center" wrapText="1"/>
    </xf>
    <xf numFmtId="173" fontId="5" fillId="0" borderId="55" xfId="0" applyNumberFormat="1" applyFont="1" applyBorder="1" applyAlignment="1">
      <alignment horizontal="center" vertical="center" wrapText="1"/>
    </xf>
    <xf numFmtId="174" fontId="5" fillId="0" borderId="55" xfId="0" applyNumberFormat="1" applyFont="1" applyBorder="1" applyAlignment="1">
      <alignment horizontal="center" vertical="center" wrapText="1"/>
    </xf>
    <xf numFmtId="175" fontId="5" fillId="0" borderId="55" xfId="0" applyNumberFormat="1" applyFont="1" applyBorder="1" applyAlignment="1">
      <alignment horizontal="center" vertical="center" wrapText="1"/>
    </xf>
    <xf numFmtId="176" fontId="13" fillId="2" borderId="44" xfId="0" applyNumberFormat="1" applyFont="1" applyFill="1" applyBorder="1" applyAlignment="1">
      <alignment horizontal="center" vertical="center" wrapText="1"/>
    </xf>
    <xf numFmtId="177" fontId="3" fillId="7" borderId="1" xfId="2" applyNumberFormat="1" applyFont="1" applyFill="1" applyBorder="1" applyAlignment="1">
      <alignment horizontal="center" vertical="center" wrapText="1"/>
    </xf>
    <xf numFmtId="49" fontId="13" fillId="2" borderId="7" xfId="0" applyNumberFormat="1" applyFont="1" applyFill="1" applyBorder="1" applyAlignment="1">
      <alignment horizontal="center" vertical="center" wrapText="1"/>
    </xf>
    <xf numFmtId="0" fontId="17" fillId="0" borderId="7" xfId="0" applyFont="1" applyBorder="1" applyAlignment="1">
      <alignment horizontal="left" vertical="center"/>
    </xf>
    <xf numFmtId="167" fontId="0" fillId="0" borderId="0" xfId="0" applyNumberFormat="1"/>
    <xf numFmtId="167" fontId="23" fillId="0" borderId="0" xfId="0" applyNumberFormat="1" applyFont="1"/>
    <xf numFmtId="0" fontId="0" fillId="0" borderId="3" xfId="0" applyBorder="1" applyAlignment="1">
      <alignment horizontal="center" vertical="center" wrapText="1"/>
    </xf>
    <xf numFmtId="8" fontId="0" fillId="15" borderId="3" xfId="0" applyNumberFormat="1" applyFill="1" applyBorder="1" applyAlignment="1" applyProtection="1">
      <alignment horizontal="center" vertical="center" wrapText="1"/>
      <protection locked="0"/>
    </xf>
    <xf numFmtId="0" fontId="10" fillId="0" borderId="57" xfId="0" applyFont="1" applyBorder="1" applyAlignment="1">
      <alignment horizontal="center" vertical="center" wrapText="1"/>
    </xf>
    <xf numFmtId="0" fontId="10" fillId="0" borderId="58" xfId="0" applyFont="1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8" fontId="0" fillId="15" borderId="40" xfId="0" applyNumberFormat="1" applyFill="1" applyBorder="1" applyAlignment="1" applyProtection="1">
      <alignment horizontal="center" vertical="center" wrapText="1"/>
      <protection locked="0"/>
    </xf>
    <xf numFmtId="8" fontId="0" fillId="0" borderId="41" xfId="0" applyNumberFormat="1" applyBorder="1" applyAlignment="1">
      <alignment horizontal="center" vertical="center" wrapText="1"/>
    </xf>
    <xf numFmtId="0" fontId="0" fillId="2" borderId="0" xfId="0" applyFill="1"/>
    <xf numFmtId="0" fontId="26" fillId="2" borderId="37" xfId="0" applyFont="1" applyFill="1" applyBorder="1" applyAlignment="1">
      <alignment horizontal="center" vertical="center" wrapText="1"/>
    </xf>
    <xf numFmtId="0" fontId="26" fillId="2" borderId="25" xfId="0" applyFont="1" applyFill="1" applyBorder="1" applyAlignment="1">
      <alignment horizontal="center" vertical="center" wrapText="1"/>
    </xf>
    <xf numFmtId="1" fontId="25" fillId="20" borderId="3" xfId="0" applyNumberFormat="1" applyFont="1" applyFill="1" applyBorder="1" applyAlignment="1">
      <alignment horizontal="center" vertical="center" wrapText="1"/>
    </xf>
    <xf numFmtId="1" fontId="0" fillId="0" borderId="3" xfId="0" applyNumberFormat="1" applyBorder="1" applyAlignment="1">
      <alignment horizontal="center" vertical="center" wrapText="1"/>
    </xf>
    <xf numFmtId="8" fontId="0" fillId="0" borderId="2" xfId="0" applyNumberFormat="1" applyBorder="1" applyAlignment="1">
      <alignment horizontal="center" vertical="center" wrapText="1"/>
    </xf>
    <xf numFmtId="44" fontId="5" fillId="2" borderId="3" xfId="2" applyFont="1" applyFill="1" applyBorder="1" applyAlignment="1" applyProtection="1">
      <alignment horizontal="right" vertical="center"/>
      <protection locked="0"/>
    </xf>
    <xf numFmtId="8" fontId="5" fillId="2" borderId="3" xfId="2" applyNumberFormat="1" applyFont="1" applyFill="1" applyBorder="1" applyAlignment="1" applyProtection="1">
      <alignment horizontal="right" vertical="center"/>
    </xf>
    <xf numFmtId="0" fontId="0" fillId="0" borderId="43" xfId="0" applyBorder="1" applyAlignment="1">
      <alignment horizontal="center" vertical="center" wrapText="1"/>
    </xf>
    <xf numFmtId="167" fontId="1" fillId="2" borderId="1" xfId="2" applyNumberFormat="1" applyFont="1" applyFill="1" applyBorder="1" applyAlignment="1" applyProtection="1">
      <alignment horizontal="center" vertical="center" wrapText="1"/>
    </xf>
    <xf numFmtId="176" fontId="0" fillId="0" borderId="0" xfId="0" applyNumberFormat="1"/>
    <xf numFmtId="0" fontId="0" fillId="2" borderId="0" xfId="0" applyFill="1" applyAlignment="1">
      <alignment horizontal="center" vertical="center"/>
    </xf>
    <xf numFmtId="167" fontId="25" fillId="20" borderId="39" xfId="0" applyNumberFormat="1" applyFont="1" applyFill="1" applyBorder="1" applyAlignment="1">
      <alignment wrapText="1"/>
    </xf>
    <xf numFmtId="167" fontId="1" fillId="15" borderId="43" xfId="2" applyNumberFormat="1" applyFont="1" applyFill="1" applyBorder="1" applyAlignment="1" applyProtection="1">
      <alignment horizontal="center" vertical="center" wrapText="1"/>
    </xf>
    <xf numFmtId="0" fontId="10" fillId="0" borderId="38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8" fontId="0" fillId="0" borderId="0" xfId="0" applyNumberFormat="1"/>
    <xf numFmtId="0" fontId="25" fillId="2" borderId="66" xfId="0" applyFont="1" applyFill="1" applyBorder="1" applyAlignment="1">
      <alignment horizontal="center" vertical="center" wrapText="1"/>
    </xf>
    <xf numFmtId="44" fontId="25" fillId="20" borderId="64" xfId="0" applyNumberFormat="1" applyFont="1" applyFill="1" applyBorder="1" applyAlignment="1">
      <alignment wrapText="1"/>
    </xf>
    <xf numFmtId="0" fontId="25" fillId="20" borderId="64" xfId="0" applyFont="1" applyFill="1" applyBorder="1" applyAlignment="1">
      <alignment horizontal="center" vertical="center" wrapText="1"/>
    </xf>
    <xf numFmtId="0" fontId="25" fillId="20" borderId="3" xfId="0" applyFont="1" applyFill="1" applyBorder="1" applyAlignment="1">
      <alignment horizontal="center" vertical="center" wrapText="1"/>
    </xf>
    <xf numFmtId="0" fontId="0" fillId="0" borderId="39" xfId="0" applyBorder="1"/>
    <xf numFmtId="0" fontId="25" fillId="20" borderId="40" xfId="0" applyFont="1" applyFill="1" applyBorder="1" applyAlignment="1">
      <alignment horizontal="center" vertical="center" wrapText="1"/>
    </xf>
    <xf numFmtId="0" fontId="21" fillId="20" borderId="40" xfId="0" applyFont="1" applyFill="1" applyBorder="1" applyAlignment="1">
      <alignment horizontal="center" vertical="center" wrapText="1"/>
    </xf>
    <xf numFmtId="0" fontId="25" fillId="20" borderId="41" xfId="0" applyFont="1" applyFill="1" applyBorder="1" applyAlignment="1">
      <alignment horizontal="center" vertical="center" wrapText="1"/>
    </xf>
    <xf numFmtId="0" fontId="25" fillId="2" borderId="60" xfId="0" applyFont="1" applyFill="1" applyBorder="1" applyAlignment="1">
      <alignment horizontal="center" vertical="center" wrapText="1"/>
    </xf>
    <xf numFmtId="0" fontId="26" fillId="2" borderId="60" xfId="0" applyFont="1" applyFill="1" applyBorder="1" applyAlignment="1">
      <alignment horizontal="center" vertical="center" wrapText="1"/>
    </xf>
    <xf numFmtId="167" fontId="25" fillId="20" borderId="3" xfId="0" applyNumberFormat="1" applyFont="1" applyFill="1" applyBorder="1" applyAlignment="1">
      <alignment horizontal="center" vertical="center" wrapText="1"/>
    </xf>
    <xf numFmtId="167" fontId="25" fillId="20" borderId="2" xfId="0" applyNumberFormat="1" applyFont="1" applyFill="1" applyBorder="1" applyAlignment="1">
      <alignment wrapText="1"/>
    </xf>
    <xf numFmtId="167" fontId="26" fillId="19" borderId="75" xfId="2" applyNumberFormat="1" applyFont="1" applyFill="1" applyBorder="1" applyAlignment="1" applyProtection="1">
      <alignment horizontal="center" vertical="center" wrapText="1"/>
      <protection locked="0"/>
    </xf>
    <xf numFmtId="167" fontId="26" fillId="19" borderId="8" xfId="2" applyNumberFormat="1" applyFont="1" applyFill="1" applyBorder="1" applyAlignment="1" applyProtection="1">
      <alignment horizontal="center" vertical="center" wrapText="1"/>
      <protection locked="0"/>
    </xf>
    <xf numFmtId="167" fontId="26" fillId="19" borderId="76" xfId="2" applyNumberFormat="1" applyFont="1" applyFill="1" applyBorder="1" applyAlignment="1" applyProtection="1">
      <alignment horizontal="center" vertical="center" wrapText="1"/>
      <protection locked="0"/>
    </xf>
    <xf numFmtId="167" fontId="26" fillId="19" borderId="46" xfId="2" applyNumberFormat="1" applyFont="1" applyFill="1" applyBorder="1" applyAlignment="1" applyProtection="1">
      <alignment horizontal="center" vertical="center" wrapText="1"/>
      <protection locked="0"/>
    </xf>
    <xf numFmtId="167" fontId="26" fillId="2" borderId="8" xfId="2" applyNumberFormat="1" applyFont="1" applyFill="1" applyBorder="1" applyAlignment="1" applyProtection="1">
      <alignment horizontal="center" vertical="center" wrapText="1"/>
      <protection locked="0"/>
    </xf>
    <xf numFmtId="167" fontId="26" fillId="8" borderId="8" xfId="2" applyNumberFormat="1" applyFont="1" applyFill="1" applyBorder="1" applyAlignment="1" applyProtection="1">
      <alignment horizontal="center" vertical="center" wrapText="1"/>
      <protection locked="0"/>
    </xf>
    <xf numFmtId="178" fontId="3" fillId="7" borderId="1" xfId="2" applyNumberFormat="1" applyFont="1" applyFill="1" applyBorder="1" applyAlignment="1">
      <alignment horizontal="center" vertical="center" wrapText="1"/>
    </xf>
    <xf numFmtId="0" fontId="47" fillId="8" borderId="0" xfId="0" applyFont="1" applyFill="1" applyAlignment="1">
      <alignment horizontal="center" vertical="center"/>
    </xf>
    <xf numFmtId="0" fontId="17" fillId="2" borderId="44" xfId="0" applyFont="1" applyFill="1" applyBorder="1" applyAlignment="1">
      <alignment horizontal="right" vertical="center" wrapText="1"/>
    </xf>
    <xf numFmtId="0" fontId="17" fillId="2" borderId="45" xfId="0" applyFont="1" applyFill="1" applyBorder="1" applyAlignment="1">
      <alignment horizontal="right" vertical="center" wrapText="1"/>
    </xf>
    <xf numFmtId="0" fontId="13" fillId="8" borderId="7" xfId="0" applyFont="1" applyFill="1" applyBorder="1" applyAlignment="1">
      <alignment horizontal="center" vertical="center" wrapText="1"/>
    </xf>
    <xf numFmtId="0" fontId="17" fillId="8" borderId="44" xfId="0" applyFont="1" applyFill="1" applyBorder="1" applyAlignment="1">
      <alignment horizontal="right" vertical="center" wrapText="1"/>
    </xf>
    <xf numFmtId="176" fontId="13" fillId="8" borderId="44" xfId="0" applyNumberFormat="1" applyFont="1" applyFill="1" applyBorder="1" applyAlignment="1">
      <alignment horizontal="center" vertical="center" wrapText="1"/>
    </xf>
    <xf numFmtId="2" fontId="13" fillId="8" borderId="7" xfId="0" applyNumberFormat="1" applyFont="1" applyFill="1" applyBorder="1" applyAlignment="1">
      <alignment horizontal="center" vertical="center" wrapText="1"/>
    </xf>
    <xf numFmtId="49" fontId="13" fillId="8" borderId="7" xfId="0" applyNumberFormat="1" applyFont="1" applyFill="1" applyBorder="1" applyAlignment="1">
      <alignment horizontal="center" vertical="center" wrapText="1"/>
    </xf>
    <xf numFmtId="167" fontId="13" fillId="8" borderId="7" xfId="0" applyNumberFormat="1" applyFont="1" applyFill="1" applyBorder="1" applyAlignment="1">
      <alignment horizontal="center" vertical="center" wrapText="1"/>
    </xf>
    <xf numFmtId="0" fontId="17" fillId="8" borderId="45" xfId="0" applyFont="1" applyFill="1" applyBorder="1" applyAlignment="1">
      <alignment horizontal="right" vertical="center" wrapText="1"/>
    </xf>
    <xf numFmtId="0" fontId="48" fillId="0" borderId="84" xfId="0" applyFont="1" applyBorder="1" applyAlignment="1" applyProtection="1">
      <alignment vertical="center"/>
      <protection locked="0"/>
    </xf>
    <xf numFmtId="0" fontId="48" fillId="0" borderId="85" xfId="0" applyFont="1" applyBorder="1" applyAlignment="1" applyProtection="1">
      <alignment vertical="center"/>
      <protection locked="0"/>
    </xf>
    <xf numFmtId="0" fontId="49" fillId="0" borderId="85" xfId="0" applyFont="1" applyBorder="1" applyAlignment="1" applyProtection="1">
      <alignment vertical="center"/>
      <protection locked="0"/>
    </xf>
    <xf numFmtId="0" fontId="50" fillId="0" borderId="84" xfId="0" applyFont="1" applyBorder="1" applyAlignment="1" applyProtection="1">
      <alignment horizontal="left" vertical="center"/>
      <protection locked="0"/>
    </xf>
    <xf numFmtId="0" fontId="50" fillId="0" borderId="86" xfId="0" applyFont="1" applyBorder="1" applyAlignment="1" applyProtection="1">
      <alignment horizontal="left" vertical="center"/>
      <protection locked="0"/>
    </xf>
    <xf numFmtId="0" fontId="50" fillId="0" borderId="85" xfId="0" applyFont="1" applyBorder="1" applyAlignment="1" applyProtection="1">
      <alignment horizontal="left" vertical="center"/>
      <protection locked="0"/>
    </xf>
    <xf numFmtId="0" fontId="0" fillId="0" borderId="0" xfId="0" applyProtection="1">
      <protection locked="0"/>
    </xf>
    <xf numFmtId="0" fontId="48" fillId="0" borderId="87" xfId="0" applyFont="1" applyBorder="1" applyAlignment="1" applyProtection="1">
      <alignment vertical="center"/>
      <protection locked="0"/>
    </xf>
    <xf numFmtId="0" fontId="48" fillId="0" borderId="88" xfId="0" applyFont="1" applyBorder="1" applyAlignment="1" applyProtection="1">
      <alignment vertical="center"/>
      <protection locked="0"/>
    </xf>
    <xf numFmtId="0" fontId="51" fillId="0" borderId="88" xfId="0" applyFont="1" applyBorder="1" applyAlignment="1" applyProtection="1">
      <alignment horizontal="center" vertical="center"/>
      <protection locked="0"/>
    </xf>
    <xf numFmtId="0" fontId="50" fillId="0" borderId="89" xfId="0" applyFont="1" applyBorder="1" applyAlignment="1" applyProtection="1">
      <alignment horizontal="left" vertical="center"/>
      <protection locked="0"/>
    </xf>
    <xf numFmtId="0" fontId="50" fillId="0" borderId="90" xfId="0" applyFont="1" applyBorder="1" applyAlignment="1" applyProtection="1">
      <alignment horizontal="left" vertical="center"/>
      <protection locked="0"/>
    </xf>
    <xf numFmtId="0" fontId="50" fillId="0" borderId="91" xfId="0" applyFont="1" applyBorder="1" applyAlignment="1" applyProtection="1">
      <alignment horizontal="left" vertical="center"/>
      <protection locked="0"/>
    </xf>
    <xf numFmtId="0" fontId="52" fillId="0" borderId="87" xfId="0" applyFont="1" applyBorder="1" applyAlignment="1" applyProtection="1">
      <alignment horizontal="left" vertical="center"/>
      <protection locked="0"/>
    </xf>
    <xf numFmtId="0" fontId="52" fillId="0" borderId="88" xfId="0" applyFont="1" applyBorder="1" applyAlignment="1" applyProtection="1">
      <alignment horizontal="left" vertical="center"/>
      <protection locked="0"/>
    </xf>
    <xf numFmtId="0" fontId="51" fillId="0" borderId="88" xfId="0" applyFont="1" applyBorder="1" applyAlignment="1" applyProtection="1">
      <alignment vertical="center"/>
      <protection locked="0"/>
    </xf>
    <xf numFmtId="0" fontId="51" fillId="0" borderId="92" xfId="0" applyFont="1" applyBorder="1" applyAlignment="1" applyProtection="1">
      <alignment horizontal="left" vertical="center"/>
      <protection locked="0"/>
    </xf>
    <xf numFmtId="0" fontId="0" fillId="0" borderId="89" xfId="0" applyBorder="1" applyAlignment="1" applyProtection="1">
      <alignment vertical="top"/>
      <protection locked="0"/>
    </xf>
    <xf numFmtId="0" fontId="0" fillId="0" borderId="91" xfId="0" applyBorder="1" applyAlignment="1" applyProtection="1">
      <alignment vertical="top"/>
      <protection locked="0"/>
    </xf>
    <xf numFmtId="0" fontId="51" fillId="0" borderId="91" xfId="0" applyFont="1" applyBorder="1" applyAlignment="1" applyProtection="1">
      <alignment horizontal="right" vertical="center"/>
      <protection locked="0"/>
    </xf>
    <xf numFmtId="0" fontId="51" fillId="0" borderId="91" xfId="0" applyFont="1" applyBorder="1" applyAlignment="1" applyProtection="1">
      <alignment horizontal="center" vertical="center"/>
      <protection locked="0"/>
    </xf>
    <xf numFmtId="0" fontId="51" fillId="0" borderId="93" xfId="0" applyFont="1" applyBorder="1" applyAlignment="1" applyProtection="1">
      <alignment horizontal="left" vertical="center"/>
      <protection locked="0"/>
    </xf>
    <xf numFmtId="0" fontId="51" fillId="0" borderId="93" xfId="0" applyFont="1" applyBorder="1" applyAlignment="1" applyProtection="1">
      <alignment vertical="center"/>
      <protection locked="0"/>
    </xf>
    <xf numFmtId="8" fontId="51" fillId="0" borderId="91" xfId="0" applyNumberFormat="1" applyFont="1" applyBorder="1" applyAlignment="1" applyProtection="1">
      <alignment horizontal="center" vertical="center"/>
      <protection locked="0"/>
    </xf>
    <xf numFmtId="8" fontId="51" fillId="0" borderId="91" xfId="0" applyNumberFormat="1" applyFont="1" applyBorder="1" applyAlignment="1" applyProtection="1">
      <alignment horizontal="right" vertical="center"/>
      <protection locked="0"/>
    </xf>
    <xf numFmtId="0" fontId="54" fillId="0" borderId="91" xfId="0" applyFont="1" applyBorder="1" applyAlignment="1" applyProtection="1">
      <alignment vertical="center"/>
      <protection locked="0"/>
    </xf>
    <xf numFmtId="0" fontId="55" fillId="0" borderId="91" xfId="0" applyFont="1" applyBorder="1" applyAlignment="1" applyProtection="1">
      <alignment vertical="center"/>
      <protection locked="0"/>
    </xf>
    <xf numFmtId="0" fontId="53" fillId="0" borderId="91" xfId="0" applyFont="1" applyBorder="1" applyAlignment="1" applyProtection="1">
      <alignment horizontal="center" vertical="center"/>
      <protection locked="0"/>
    </xf>
    <xf numFmtId="0" fontId="56" fillId="0" borderId="91" xfId="0" applyFont="1" applyBorder="1" applyAlignment="1" applyProtection="1">
      <alignment horizontal="center" vertical="center"/>
      <protection locked="0"/>
    </xf>
    <xf numFmtId="0" fontId="50" fillId="0" borderId="94" xfId="0" applyFont="1" applyBorder="1" applyAlignment="1" applyProtection="1">
      <alignment vertical="center"/>
      <protection locked="0"/>
    </xf>
    <xf numFmtId="0" fontId="57" fillId="0" borderId="92" xfId="0" applyFont="1" applyBorder="1" applyAlignment="1" applyProtection="1">
      <alignment vertical="center"/>
      <protection locked="0"/>
    </xf>
    <xf numFmtId="0" fontId="58" fillId="0" borderId="94" xfId="0" applyFont="1" applyBorder="1" applyAlignment="1" applyProtection="1">
      <alignment vertical="center"/>
      <protection locked="0"/>
    </xf>
    <xf numFmtId="0" fontId="50" fillId="0" borderId="88" xfId="0" applyFont="1" applyBorder="1" applyAlignment="1" applyProtection="1">
      <alignment vertical="center"/>
      <protection locked="0"/>
    </xf>
    <xf numFmtId="0" fontId="57" fillId="0" borderId="94" xfId="0" applyFont="1" applyBorder="1" applyAlignment="1" applyProtection="1">
      <alignment vertical="center"/>
      <protection locked="0"/>
    </xf>
    <xf numFmtId="0" fontId="59" fillId="0" borderId="93" xfId="0" applyFont="1" applyBorder="1" applyAlignment="1" applyProtection="1">
      <alignment vertical="center"/>
      <protection locked="0"/>
    </xf>
    <xf numFmtId="8" fontId="49" fillId="0" borderId="91" xfId="0" applyNumberFormat="1" applyFont="1" applyBorder="1" applyAlignment="1" applyProtection="1">
      <alignment horizontal="right" vertical="center"/>
      <protection locked="0"/>
    </xf>
    <xf numFmtId="8" fontId="49" fillId="0" borderId="91" xfId="0" applyNumberFormat="1" applyFont="1" applyBorder="1" applyAlignment="1" applyProtection="1">
      <alignment horizontal="center" vertical="center"/>
      <protection locked="0"/>
    </xf>
    <xf numFmtId="0" fontId="49" fillId="0" borderId="91" xfId="0" applyFont="1" applyBorder="1" applyAlignment="1" applyProtection="1">
      <alignment horizontal="right" vertical="center"/>
      <protection locked="0"/>
    </xf>
    <xf numFmtId="0" fontId="60" fillId="0" borderId="91" xfId="0" applyFont="1" applyBorder="1" applyAlignment="1" applyProtection="1">
      <alignment horizontal="right" vertical="center"/>
      <protection locked="0"/>
    </xf>
    <xf numFmtId="0" fontId="61" fillId="0" borderId="91" xfId="0" applyFont="1" applyBorder="1" applyAlignment="1" applyProtection="1">
      <alignment horizontal="center" vertical="center"/>
      <protection locked="0"/>
    </xf>
    <xf numFmtId="0" fontId="62" fillId="0" borderId="91" xfId="0" applyFont="1" applyBorder="1" applyAlignment="1" applyProtection="1">
      <alignment horizontal="center" vertical="center"/>
      <protection locked="0"/>
    </xf>
    <xf numFmtId="0" fontId="57" fillId="0" borderId="93" xfId="0" applyFont="1" applyBorder="1" applyAlignment="1" applyProtection="1">
      <alignment vertical="center"/>
      <protection locked="0"/>
    </xf>
    <xf numFmtId="0" fontId="63" fillId="0" borderId="94" xfId="0" applyFont="1" applyBorder="1" applyAlignment="1" applyProtection="1">
      <alignment vertical="center"/>
      <protection locked="0"/>
    </xf>
    <xf numFmtId="0" fontId="49" fillId="0" borderId="88" xfId="0" applyFont="1" applyBorder="1" applyAlignment="1" applyProtection="1">
      <alignment vertical="center"/>
      <protection locked="0"/>
    </xf>
    <xf numFmtId="0" fontId="49" fillId="0" borderId="91" xfId="0" applyFont="1" applyBorder="1" applyAlignment="1" applyProtection="1">
      <alignment horizontal="center" vertical="center"/>
      <protection locked="0"/>
    </xf>
    <xf numFmtId="0" fontId="66" fillId="0" borderId="91" xfId="0" applyFont="1" applyBorder="1" applyAlignment="1" applyProtection="1">
      <alignment horizontal="center" vertical="center"/>
      <protection locked="0"/>
    </xf>
    <xf numFmtId="0" fontId="67" fillId="0" borderId="91" xfId="0" applyFont="1" applyBorder="1" applyAlignment="1" applyProtection="1">
      <alignment horizontal="center" vertical="center"/>
      <protection locked="0"/>
    </xf>
    <xf numFmtId="0" fontId="68" fillId="0" borderId="91" xfId="0" applyFont="1" applyBorder="1" applyAlignment="1" applyProtection="1">
      <alignment horizontal="center" vertical="center"/>
      <protection locked="0"/>
    </xf>
    <xf numFmtId="0" fontId="69" fillId="0" borderId="94" xfId="0" applyFont="1" applyBorder="1" applyAlignment="1" applyProtection="1">
      <alignment vertical="center"/>
      <protection locked="0"/>
    </xf>
    <xf numFmtId="0" fontId="70" fillId="0" borderId="93" xfId="0" applyFont="1" applyBorder="1" applyAlignment="1" applyProtection="1">
      <alignment vertical="center"/>
      <protection locked="0"/>
    </xf>
    <xf numFmtId="8" fontId="50" fillId="0" borderId="91" xfId="0" applyNumberFormat="1" applyFont="1" applyBorder="1" applyAlignment="1" applyProtection="1">
      <alignment horizontal="right" vertical="center"/>
      <protection locked="0"/>
    </xf>
    <xf numFmtId="8" fontId="50" fillId="0" borderId="91" xfId="0" applyNumberFormat="1" applyFont="1" applyBorder="1" applyAlignment="1" applyProtection="1">
      <alignment horizontal="center" vertical="center"/>
      <protection locked="0"/>
    </xf>
    <xf numFmtId="0" fontId="71" fillId="0" borderId="91" xfId="0" applyFont="1" applyBorder="1" applyAlignment="1" applyProtection="1">
      <alignment horizontal="right" vertical="center"/>
      <protection locked="0"/>
    </xf>
    <xf numFmtId="0" fontId="50" fillId="0" borderId="91" xfId="0" applyFont="1" applyBorder="1" applyAlignment="1" applyProtection="1">
      <alignment horizontal="center" vertical="center"/>
      <protection locked="0"/>
    </xf>
    <xf numFmtId="0" fontId="25" fillId="2" borderId="0" xfId="0" applyFont="1" applyFill="1" applyAlignment="1" applyProtection="1">
      <alignment wrapText="1"/>
      <protection locked="0"/>
    </xf>
    <xf numFmtId="0" fontId="25" fillId="2" borderId="66" xfId="0" applyFont="1" applyFill="1" applyBorder="1" applyAlignment="1" applyProtection="1">
      <alignment horizontal="center" vertical="center" wrapText="1"/>
      <protection locked="0"/>
    </xf>
    <xf numFmtId="0" fontId="26" fillId="2" borderId="37" xfId="0" applyFont="1" applyFill="1" applyBorder="1" applyAlignment="1" applyProtection="1">
      <alignment horizontal="center" vertical="center" wrapText="1"/>
      <protection locked="0"/>
    </xf>
    <xf numFmtId="0" fontId="26" fillId="2" borderId="25" xfId="0" applyFont="1" applyFill="1" applyBorder="1" applyAlignment="1" applyProtection="1">
      <alignment horizontal="center" vertical="center" wrapText="1"/>
      <protection locked="0"/>
    </xf>
    <xf numFmtId="0" fontId="26" fillId="8" borderId="48" xfId="0" applyFont="1" applyFill="1" applyBorder="1" applyAlignment="1" applyProtection="1">
      <alignment horizontal="center" vertical="center" wrapText="1"/>
      <protection locked="0"/>
    </xf>
    <xf numFmtId="0" fontId="26" fillId="8" borderId="40" xfId="0" applyFont="1" applyFill="1" applyBorder="1" applyAlignment="1" applyProtection="1">
      <alignment horizontal="center" vertical="center" wrapText="1"/>
      <protection locked="0"/>
    </xf>
    <xf numFmtId="164" fontId="26" fillId="8" borderId="4" xfId="6" applyFont="1" applyFill="1" applyBorder="1" applyAlignment="1" applyProtection="1">
      <alignment horizontal="center" vertical="center" wrapText="1"/>
      <protection locked="0"/>
    </xf>
    <xf numFmtId="164" fontId="26" fillId="8" borderId="3" xfId="6" applyFont="1" applyFill="1" applyBorder="1" applyAlignment="1" applyProtection="1">
      <alignment horizontal="center" vertical="center" wrapText="1"/>
      <protection locked="0"/>
    </xf>
    <xf numFmtId="0" fontId="26" fillId="2" borderId="4" xfId="0" applyFont="1" applyFill="1" applyBorder="1" applyAlignment="1" applyProtection="1">
      <alignment horizontal="center" vertical="center" wrapText="1"/>
      <protection locked="0"/>
    </xf>
    <xf numFmtId="0" fontId="26" fillId="2" borderId="3" xfId="0" applyFont="1" applyFill="1" applyBorder="1" applyAlignment="1" applyProtection="1">
      <alignment horizontal="center" vertical="center" wrapText="1"/>
      <protection locked="0"/>
    </xf>
    <xf numFmtId="164" fontId="26" fillId="2" borderId="4" xfId="6" applyFont="1" applyFill="1" applyBorder="1" applyAlignment="1" applyProtection="1">
      <alignment horizontal="center" vertical="center" wrapText="1"/>
      <protection locked="0"/>
    </xf>
    <xf numFmtId="164" fontId="26" fillId="2" borderId="3" xfId="6" applyFont="1" applyFill="1" applyBorder="1" applyAlignment="1" applyProtection="1">
      <alignment horizontal="center" vertical="center" wrapText="1"/>
      <protection locked="0"/>
    </xf>
    <xf numFmtId="0" fontId="26" fillId="8" borderId="4" xfId="0" applyFont="1" applyFill="1" applyBorder="1" applyAlignment="1" applyProtection="1">
      <alignment horizontal="center" vertical="center" wrapText="1"/>
      <protection locked="0"/>
    </xf>
    <xf numFmtId="0" fontId="26" fillId="8" borderId="3" xfId="0" applyFont="1" applyFill="1" applyBorder="1" applyAlignment="1" applyProtection="1">
      <alignment horizontal="center" vertical="center" wrapText="1"/>
      <protection locked="0"/>
    </xf>
    <xf numFmtId="0" fontId="27" fillId="2" borderId="4" xfId="0" applyFont="1" applyFill="1" applyBorder="1" applyAlignment="1" applyProtection="1">
      <alignment horizontal="center" vertical="center" wrapText="1"/>
      <protection locked="0"/>
    </xf>
    <xf numFmtId="0" fontId="27" fillId="2" borderId="3" xfId="0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Protection="1">
      <protection locked="0"/>
    </xf>
    <xf numFmtId="164" fontId="27" fillId="2" borderId="4" xfId="6" applyFont="1" applyFill="1" applyBorder="1" applyAlignment="1" applyProtection="1">
      <alignment horizontal="center" vertical="center" wrapText="1"/>
      <protection locked="0"/>
    </xf>
    <xf numFmtId="164" fontId="27" fillId="2" borderId="3" xfId="6" applyFont="1" applyFill="1" applyBorder="1" applyAlignment="1" applyProtection="1">
      <alignment horizontal="center" vertical="center" wrapText="1"/>
      <protection locked="0"/>
    </xf>
    <xf numFmtId="0" fontId="27" fillId="8" borderId="4" xfId="0" applyFont="1" applyFill="1" applyBorder="1" applyAlignment="1" applyProtection="1">
      <alignment horizontal="center" vertical="center" wrapText="1"/>
      <protection locked="0"/>
    </xf>
    <xf numFmtId="0" fontId="27" fillId="8" borderId="3" xfId="0" applyFont="1" applyFill="1" applyBorder="1" applyAlignment="1" applyProtection="1">
      <alignment horizontal="center" vertical="center" wrapText="1"/>
      <protection locked="0"/>
    </xf>
    <xf numFmtId="164" fontId="27" fillId="8" borderId="4" xfId="6" applyFont="1" applyFill="1" applyBorder="1" applyAlignment="1" applyProtection="1">
      <alignment horizontal="center" vertical="center" wrapText="1"/>
      <protection locked="0"/>
    </xf>
    <xf numFmtId="164" fontId="27" fillId="8" borderId="3" xfId="6" applyFont="1" applyFill="1" applyBorder="1" applyAlignment="1" applyProtection="1">
      <alignment horizontal="center" vertical="center" wrapText="1"/>
      <protection locked="0"/>
    </xf>
    <xf numFmtId="0" fontId="0" fillId="18" borderId="0" xfId="0" applyFill="1" applyProtection="1">
      <protection locked="0"/>
    </xf>
    <xf numFmtId="1" fontId="26" fillId="8" borderId="4" xfId="6" applyNumberFormat="1" applyFont="1" applyFill="1" applyBorder="1" applyAlignment="1" applyProtection="1">
      <alignment horizontal="center" vertical="center" wrapText="1"/>
      <protection locked="0"/>
    </xf>
    <xf numFmtId="1" fontId="26" fillId="8" borderId="3" xfId="6" applyNumberFormat="1" applyFont="1" applyFill="1" applyBorder="1" applyAlignment="1" applyProtection="1">
      <alignment horizontal="center" vertical="center" wrapText="1"/>
      <protection locked="0"/>
    </xf>
    <xf numFmtId="0" fontId="26" fillId="8" borderId="4" xfId="6" applyNumberFormat="1" applyFont="1" applyFill="1" applyBorder="1" applyAlignment="1" applyProtection="1">
      <alignment horizontal="center" vertical="center" wrapText="1"/>
      <protection locked="0"/>
    </xf>
    <xf numFmtId="0" fontId="26" fillId="8" borderId="3" xfId="6" applyNumberFormat="1" applyFont="1" applyFill="1" applyBorder="1" applyAlignment="1" applyProtection="1">
      <alignment horizontal="center" vertical="center" wrapText="1"/>
      <protection locked="0"/>
    </xf>
    <xf numFmtId="0" fontId="26" fillId="0" borderId="4" xfId="0" applyFont="1" applyBorder="1" applyAlignment="1" applyProtection="1">
      <alignment horizontal="center" vertical="center" wrapText="1"/>
      <protection locked="0"/>
    </xf>
    <xf numFmtId="0" fontId="26" fillId="0" borderId="3" xfId="0" applyFont="1" applyBorder="1" applyAlignment="1" applyProtection="1">
      <alignment horizontal="center" vertical="center" wrapText="1"/>
      <protection locked="0"/>
    </xf>
    <xf numFmtId="167" fontId="27" fillId="8" borderId="4" xfId="6" applyNumberFormat="1" applyFont="1" applyFill="1" applyBorder="1" applyAlignment="1" applyProtection="1">
      <alignment horizontal="center" vertical="center" wrapText="1"/>
      <protection locked="0"/>
    </xf>
    <xf numFmtId="167" fontId="27" fillId="8" borderId="3" xfId="6" applyNumberFormat="1" applyFont="1" applyFill="1" applyBorder="1" applyAlignment="1" applyProtection="1">
      <alignment horizontal="center" vertical="center" wrapText="1"/>
      <protection locked="0"/>
    </xf>
    <xf numFmtId="167" fontId="26" fillId="8" borderId="3" xfId="6" applyNumberFormat="1" applyFont="1" applyFill="1" applyBorder="1" applyAlignment="1" applyProtection="1">
      <alignment horizontal="center" vertical="center" wrapText="1"/>
      <protection locked="0"/>
    </xf>
    <xf numFmtId="0" fontId="27" fillId="0" borderId="4" xfId="0" applyFont="1" applyBorder="1" applyAlignment="1" applyProtection="1">
      <alignment horizontal="center" vertical="center" wrapText="1"/>
      <protection locked="0"/>
    </xf>
    <xf numFmtId="0" fontId="27" fillId="0" borderId="3" xfId="0" applyFont="1" applyBorder="1" applyAlignment="1" applyProtection="1">
      <alignment horizontal="center" vertical="center" wrapText="1"/>
      <protection locked="0"/>
    </xf>
    <xf numFmtId="167" fontId="27" fillId="2" borderId="4" xfId="6" applyNumberFormat="1" applyFont="1" applyFill="1" applyBorder="1" applyAlignment="1" applyProtection="1">
      <alignment horizontal="center" vertical="center" wrapText="1"/>
      <protection locked="0"/>
    </xf>
    <xf numFmtId="167" fontId="27" fillId="2" borderId="3" xfId="6" applyNumberFormat="1" applyFont="1" applyFill="1" applyBorder="1" applyAlignment="1" applyProtection="1">
      <alignment horizontal="center" vertical="center" wrapText="1"/>
      <protection locked="0"/>
    </xf>
    <xf numFmtId="164" fontId="27" fillId="8" borderId="11" xfId="6" applyFont="1" applyFill="1" applyBorder="1" applyAlignment="1" applyProtection="1">
      <alignment horizontal="center" vertical="center" wrapText="1"/>
      <protection locked="0"/>
    </xf>
    <xf numFmtId="164" fontId="27" fillId="8" borderId="43" xfId="6" applyFont="1" applyFill="1" applyBorder="1" applyAlignment="1" applyProtection="1">
      <alignment horizontal="center" vertical="center" wrapText="1"/>
      <protection locked="0"/>
    </xf>
    <xf numFmtId="0" fontId="26" fillId="2" borderId="0" xfId="0" applyFont="1" applyFill="1" applyAlignment="1" applyProtection="1">
      <alignment horizontal="justify" vertical="center" wrapText="1"/>
      <protection locked="0"/>
    </xf>
    <xf numFmtId="44" fontId="25" fillId="20" borderId="64" xfId="0" applyNumberFormat="1" applyFont="1" applyFill="1" applyBorder="1" applyAlignment="1" applyProtection="1">
      <alignment wrapText="1"/>
      <protection locked="0"/>
    </xf>
    <xf numFmtId="1" fontId="25" fillId="20" borderId="60" xfId="0" applyNumberFormat="1" applyFont="1" applyFill="1" applyBorder="1" applyAlignment="1" applyProtection="1">
      <alignment horizontal="center" vertical="center" wrapText="1"/>
      <protection locked="0"/>
    </xf>
    <xf numFmtId="1" fontId="25" fillId="20" borderId="3" xfId="0" applyNumberFormat="1" applyFont="1" applyFill="1" applyBorder="1" applyAlignment="1" applyProtection="1">
      <alignment horizontal="center" vertical="center" wrapText="1"/>
      <protection locked="0"/>
    </xf>
    <xf numFmtId="1" fontId="25" fillId="20" borderId="2" xfId="0" applyNumberFormat="1" applyFont="1" applyFill="1" applyBorder="1" applyAlignment="1" applyProtection="1">
      <alignment horizontal="center" vertical="center" wrapText="1"/>
      <protection locked="0"/>
    </xf>
    <xf numFmtId="44" fontId="25" fillId="20" borderId="42" xfId="0" applyNumberFormat="1" applyFont="1" applyFill="1" applyBorder="1" applyAlignment="1" applyProtection="1">
      <alignment wrapText="1"/>
      <protection locked="0"/>
    </xf>
    <xf numFmtId="44" fontId="25" fillId="20" borderId="43" xfId="0" applyNumberFormat="1" applyFont="1" applyFill="1" applyBorder="1" applyAlignment="1" applyProtection="1">
      <alignment wrapText="1"/>
      <protection locked="0"/>
    </xf>
    <xf numFmtId="44" fontId="25" fillId="20" borderId="1" xfId="0" applyNumberFormat="1" applyFont="1" applyFill="1" applyBorder="1" applyAlignment="1" applyProtection="1">
      <alignment wrapText="1"/>
      <protection locked="0"/>
    </xf>
    <xf numFmtId="0" fontId="0" fillId="0" borderId="7" xfId="0" applyBorder="1" applyAlignment="1" applyProtection="1">
      <alignment horizontal="center" vertical="center"/>
      <protection locked="0"/>
    </xf>
    <xf numFmtId="0" fontId="0" fillId="0" borderId="44" xfId="0" applyBorder="1" applyAlignment="1" applyProtection="1">
      <alignment horizontal="center" vertical="center"/>
      <protection locked="0"/>
    </xf>
    <xf numFmtId="0" fontId="25" fillId="8" borderId="49" xfId="0" applyFont="1" applyFill="1" applyBorder="1" applyAlignment="1" applyProtection="1">
      <alignment horizontal="center" vertical="center" wrapText="1"/>
      <protection locked="0"/>
    </xf>
    <xf numFmtId="0" fontId="26" fillId="8" borderId="49" xfId="0" applyFont="1" applyFill="1" applyBorder="1" applyAlignment="1" applyProtection="1">
      <alignment horizontal="left" vertical="center" wrapText="1"/>
      <protection locked="0"/>
    </xf>
    <xf numFmtId="0" fontId="43" fillId="8" borderId="61" xfId="0" applyFont="1" applyFill="1" applyBorder="1" applyAlignment="1" applyProtection="1">
      <alignment horizontal="center" vertical="center" wrapText="1"/>
      <protection locked="0"/>
    </xf>
    <xf numFmtId="0" fontId="26" fillId="8" borderId="69" xfId="0" applyFont="1" applyFill="1" applyBorder="1" applyAlignment="1" applyProtection="1">
      <alignment horizontal="center" vertical="center" wrapText="1"/>
      <protection locked="0"/>
    </xf>
    <xf numFmtId="0" fontId="0" fillId="8" borderId="61" xfId="0" applyFill="1" applyBorder="1" applyAlignment="1" applyProtection="1">
      <alignment horizontal="center" vertical="center"/>
      <protection locked="0"/>
    </xf>
    <xf numFmtId="167" fontId="0" fillId="8" borderId="69" xfId="0" applyNumberForma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25" fillId="2" borderId="67" xfId="0" applyFont="1" applyFill="1" applyBorder="1" applyAlignment="1" applyProtection="1">
      <alignment horizontal="center" vertical="center" wrapText="1"/>
      <protection locked="0"/>
    </xf>
    <xf numFmtId="0" fontId="26" fillId="2" borderId="67" xfId="0" applyFont="1" applyFill="1" applyBorder="1" applyAlignment="1" applyProtection="1">
      <alignment horizontal="left" vertical="center" wrapText="1"/>
      <protection locked="0"/>
    </xf>
    <xf numFmtId="0" fontId="26" fillId="2" borderId="62" xfId="0" applyFont="1" applyFill="1" applyBorder="1" applyAlignment="1" applyProtection="1">
      <alignment horizontal="center" vertical="center" wrapText="1"/>
      <protection locked="0"/>
    </xf>
    <xf numFmtId="0" fontId="26" fillId="2" borderId="70" xfId="0" applyFont="1" applyFill="1" applyBorder="1" applyAlignment="1" applyProtection="1">
      <alignment horizontal="center" vertical="center" wrapText="1"/>
      <protection locked="0"/>
    </xf>
    <xf numFmtId="0" fontId="0" fillId="0" borderId="62" xfId="0" applyBorder="1" applyAlignment="1" applyProtection="1">
      <alignment horizontal="center" vertical="center"/>
      <protection locked="0"/>
    </xf>
    <xf numFmtId="167" fontId="0" fillId="0" borderId="70" xfId="0" applyNumberFormat="1" applyBorder="1" applyAlignment="1" applyProtection="1">
      <alignment horizontal="center" vertical="center"/>
      <protection locked="0"/>
    </xf>
    <xf numFmtId="0" fontId="25" fillId="8" borderId="67" xfId="0" applyFont="1" applyFill="1" applyBorder="1" applyAlignment="1" applyProtection="1">
      <alignment horizontal="center" vertical="center" wrapText="1"/>
      <protection locked="0"/>
    </xf>
    <xf numFmtId="0" fontId="26" fillId="8" borderId="67" xfId="0" applyFont="1" applyFill="1" applyBorder="1" applyAlignment="1" applyProtection="1">
      <alignment horizontal="left" vertical="center" wrapText="1"/>
      <protection locked="0"/>
    </xf>
    <xf numFmtId="0" fontId="26" fillId="8" borderId="62" xfId="0" applyFont="1" applyFill="1" applyBorder="1" applyAlignment="1" applyProtection="1">
      <alignment horizontal="center" vertical="center" wrapText="1"/>
      <protection locked="0"/>
    </xf>
    <xf numFmtId="0" fontId="26" fillId="8" borderId="70" xfId="0" applyFont="1" applyFill="1" applyBorder="1" applyAlignment="1" applyProtection="1">
      <alignment horizontal="center" vertical="center" wrapText="1"/>
      <protection locked="0"/>
    </xf>
    <xf numFmtId="0" fontId="0" fillId="8" borderId="62" xfId="0" applyFill="1" applyBorder="1" applyAlignment="1" applyProtection="1">
      <alignment horizontal="center" vertical="center"/>
      <protection locked="0"/>
    </xf>
    <xf numFmtId="167" fontId="0" fillId="8" borderId="70" xfId="0" applyNumberFormat="1" applyFill="1" applyBorder="1" applyAlignment="1" applyProtection="1">
      <alignment horizontal="center" vertical="center"/>
      <protection locked="0"/>
    </xf>
    <xf numFmtId="0" fontId="27" fillId="2" borderId="67" xfId="0" applyFont="1" applyFill="1" applyBorder="1" applyAlignment="1" applyProtection="1">
      <alignment horizontal="center" vertical="center" wrapText="1"/>
      <protection locked="0"/>
    </xf>
    <xf numFmtId="0" fontId="27" fillId="2" borderId="67" xfId="0" applyFont="1" applyFill="1" applyBorder="1" applyAlignment="1" applyProtection="1">
      <alignment horizontal="left" vertical="center" wrapText="1"/>
      <protection locked="0"/>
    </xf>
    <xf numFmtId="0" fontId="27" fillId="8" borderId="67" xfId="0" applyFont="1" applyFill="1" applyBorder="1" applyAlignment="1" applyProtection="1">
      <alignment horizontal="center" vertical="center" wrapText="1"/>
      <protection locked="0"/>
    </xf>
    <xf numFmtId="0" fontId="27" fillId="8" borderId="67" xfId="0" applyFont="1" applyFill="1" applyBorder="1" applyAlignment="1" applyProtection="1">
      <alignment horizontal="left" vertical="center" wrapText="1"/>
      <protection locked="0"/>
    </xf>
    <xf numFmtId="0" fontId="27" fillId="8" borderId="62" xfId="0" applyFont="1" applyFill="1" applyBorder="1" applyAlignment="1" applyProtection="1">
      <alignment horizontal="center" vertical="center" wrapText="1"/>
      <protection locked="0"/>
    </xf>
    <xf numFmtId="0" fontId="27" fillId="8" borderId="70" xfId="0" applyFont="1" applyFill="1" applyBorder="1" applyAlignment="1" applyProtection="1">
      <alignment horizontal="center" vertical="center" wrapText="1"/>
      <protection locked="0"/>
    </xf>
    <xf numFmtId="0" fontId="27" fillId="8" borderId="67" xfId="2" applyNumberFormat="1" applyFont="1" applyFill="1" applyBorder="1" applyAlignment="1" applyProtection="1">
      <alignment horizontal="left" vertical="center" wrapText="1"/>
      <protection locked="0"/>
    </xf>
    <xf numFmtId="0" fontId="25" fillId="2" borderId="68" xfId="0" applyFont="1" applyFill="1" applyBorder="1" applyAlignment="1" applyProtection="1">
      <alignment horizontal="center" vertical="center" wrapText="1"/>
      <protection locked="0"/>
    </xf>
    <xf numFmtId="0" fontId="26" fillId="2" borderId="68" xfId="0" applyFont="1" applyFill="1" applyBorder="1" applyAlignment="1" applyProtection="1">
      <alignment horizontal="left" vertical="center" wrapText="1"/>
      <protection locked="0"/>
    </xf>
    <xf numFmtId="0" fontId="26" fillId="2" borderId="63" xfId="0" applyFont="1" applyFill="1" applyBorder="1" applyAlignment="1" applyProtection="1">
      <alignment horizontal="center" vertical="center" wrapText="1"/>
      <protection locked="0"/>
    </xf>
    <xf numFmtId="0" fontId="26" fillId="2" borderId="71" xfId="0" applyFont="1" applyFill="1" applyBorder="1" applyAlignment="1" applyProtection="1">
      <alignment horizontal="center" vertical="center" wrapText="1"/>
      <protection locked="0"/>
    </xf>
    <xf numFmtId="0" fontId="0" fillId="0" borderId="63" xfId="0" applyBorder="1" applyAlignment="1" applyProtection="1">
      <alignment horizontal="center" vertical="center"/>
      <protection locked="0"/>
    </xf>
    <xf numFmtId="167" fontId="0" fillId="0" borderId="71" xfId="0" applyNumberFormat="1" applyBorder="1" applyAlignment="1" applyProtection="1">
      <alignment horizontal="center" vertical="center"/>
      <protection locked="0"/>
    </xf>
    <xf numFmtId="167" fontId="25" fillId="20" borderId="38" xfId="0" applyNumberFormat="1" applyFont="1" applyFill="1" applyBorder="1" applyAlignment="1" applyProtection="1">
      <alignment horizontal="center" vertical="center" wrapText="1"/>
      <protection locked="0"/>
    </xf>
    <xf numFmtId="1" fontId="25" fillId="20" borderId="7" xfId="0" applyNumberFormat="1" applyFont="1" applyFill="1" applyBorder="1" applyAlignment="1" applyProtection="1">
      <alignment horizontal="center" vertical="center" wrapText="1"/>
      <protection locked="0"/>
    </xf>
    <xf numFmtId="167" fontId="25" fillId="20" borderId="74" xfId="0" applyNumberFormat="1" applyFont="1" applyFill="1" applyBorder="1" applyAlignment="1" applyProtection="1">
      <alignment horizontal="center" vertical="center" wrapText="1"/>
      <protection locked="0"/>
    </xf>
    <xf numFmtId="44" fontId="5" fillId="7" borderId="4" xfId="2" applyFont="1" applyFill="1" applyBorder="1" applyAlignment="1" applyProtection="1">
      <alignment horizontal="center" vertical="center"/>
      <protection locked="0"/>
    </xf>
    <xf numFmtId="44" fontId="5" fillId="7" borderId="4" xfId="2" applyFont="1" applyFill="1" applyBorder="1" applyAlignment="1" applyProtection="1">
      <alignment horizontal="center" vertical="center"/>
    </xf>
    <xf numFmtId="9" fontId="5" fillId="7" borderId="4" xfId="2" applyNumberFormat="1" applyFont="1" applyFill="1" applyBorder="1" applyAlignment="1" applyProtection="1">
      <alignment horizontal="center" vertical="center"/>
      <protection locked="0"/>
    </xf>
    <xf numFmtId="179" fontId="5" fillId="7" borderId="4" xfId="2" applyNumberFormat="1" applyFont="1" applyFill="1" applyBorder="1" applyAlignment="1" applyProtection="1">
      <alignment horizontal="center" vertical="center"/>
      <protection locked="0"/>
    </xf>
    <xf numFmtId="179" fontId="5" fillId="12" borderId="4" xfId="2" applyNumberFormat="1" applyFont="1" applyFill="1" applyBorder="1" applyAlignment="1" applyProtection="1">
      <alignment horizontal="center" vertical="center"/>
      <protection locked="0"/>
    </xf>
    <xf numFmtId="180" fontId="5" fillId="12" borderId="4" xfId="2" applyNumberFormat="1" applyFont="1" applyFill="1" applyBorder="1" applyAlignment="1" applyProtection="1">
      <alignment horizontal="center" vertical="center"/>
      <protection locked="0"/>
    </xf>
    <xf numFmtId="0" fontId="16" fillId="23" borderId="0" xfId="0" applyFont="1" applyFill="1" applyAlignment="1">
      <alignment horizontal="right"/>
    </xf>
    <xf numFmtId="0" fontId="16" fillId="8" borderId="0" xfId="0" applyFont="1" applyFill="1" applyAlignment="1">
      <alignment horizontal="right"/>
    </xf>
    <xf numFmtId="167" fontId="16" fillId="23" borderId="0" xfId="0" applyNumberFormat="1" applyFont="1" applyFill="1"/>
    <xf numFmtId="167" fontId="16" fillId="8" borderId="0" xfId="0" applyNumberFormat="1" applyFont="1" applyFill="1"/>
    <xf numFmtId="167" fontId="16" fillId="9" borderId="7" xfId="0" applyNumberFormat="1" applyFont="1" applyFill="1" applyBorder="1" applyAlignment="1">
      <alignment horizontal="center" vertical="center" wrapText="1"/>
    </xf>
    <xf numFmtId="0" fontId="29" fillId="0" borderId="30" xfId="0" applyFont="1" applyBorder="1" applyAlignment="1" applyProtection="1">
      <alignment horizontal="center" vertical="center" wrapText="1"/>
      <protection locked="0"/>
    </xf>
    <xf numFmtId="0" fontId="31" fillId="0" borderId="39" xfId="0" applyFont="1" applyBorder="1" applyAlignment="1" applyProtection="1">
      <alignment horizontal="center" vertical="center" wrapText="1"/>
      <protection locked="0"/>
    </xf>
    <xf numFmtId="0" fontId="31" fillId="0" borderId="40" xfId="0" applyFont="1" applyBorder="1" applyAlignment="1" applyProtection="1">
      <alignment horizontal="center" vertical="center" wrapText="1"/>
      <protection locked="0"/>
    </xf>
    <xf numFmtId="167" fontId="31" fillId="0" borderId="42" xfId="0" applyNumberFormat="1" applyFont="1" applyBorder="1" applyAlignment="1" applyProtection="1">
      <alignment horizontal="center" vertical="center" wrapText="1"/>
      <protection locked="0"/>
    </xf>
    <xf numFmtId="167" fontId="31" fillId="0" borderId="43" xfId="0" applyNumberFormat="1" applyFont="1" applyBorder="1" applyAlignment="1" applyProtection="1">
      <alignment horizontal="center" vertical="center" wrapText="1"/>
      <protection locked="0"/>
    </xf>
    <xf numFmtId="0" fontId="31" fillId="0" borderId="64" xfId="0" applyFont="1" applyBorder="1" applyAlignment="1" applyProtection="1">
      <alignment horizontal="center" vertical="center" wrapText="1"/>
      <protection locked="0"/>
    </xf>
    <xf numFmtId="0" fontId="31" fillId="0" borderId="59" xfId="0" applyFont="1" applyBorder="1" applyAlignment="1" applyProtection="1">
      <alignment horizontal="center" vertical="center" wrapText="1"/>
      <protection locked="0"/>
    </xf>
    <xf numFmtId="167" fontId="31" fillId="0" borderId="65" xfId="0" applyNumberFormat="1" applyFont="1" applyBorder="1" applyAlignment="1" applyProtection="1">
      <alignment horizontal="center" vertical="center" wrapText="1"/>
      <protection locked="0"/>
    </xf>
    <xf numFmtId="167" fontId="31" fillId="0" borderId="6" xfId="0" applyNumberFormat="1" applyFont="1" applyBorder="1" applyAlignment="1" applyProtection="1">
      <alignment horizontal="center" vertical="center" wrapText="1"/>
      <protection locked="0"/>
    </xf>
    <xf numFmtId="0" fontId="31" fillId="0" borderId="64" xfId="1" applyNumberFormat="1" applyFont="1" applyBorder="1" applyAlignment="1" applyProtection="1">
      <alignment horizontal="center" vertical="center" wrapText="1"/>
      <protection locked="0"/>
    </xf>
    <xf numFmtId="0" fontId="33" fillId="0" borderId="59" xfId="0" applyFont="1" applyBorder="1" applyAlignment="1" applyProtection="1">
      <alignment horizontal="center" vertical="center" wrapText="1"/>
      <protection locked="0"/>
    </xf>
    <xf numFmtId="0" fontId="31" fillId="18" borderId="39" xfId="0" applyFont="1" applyFill="1" applyBorder="1" applyAlignment="1" applyProtection="1">
      <alignment horizontal="center" vertical="center" wrapText="1"/>
      <protection locked="0"/>
    </xf>
    <xf numFmtId="0" fontId="33" fillId="0" borderId="40" xfId="0" applyFont="1" applyBorder="1" applyAlignment="1" applyProtection="1">
      <alignment horizontal="center" vertical="center" wrapText="1"/>
      <protection locked="0"/>
    </xf>
    <xf numFmtId="0" fontId="30" fillId="0" borderId="66" xfId="0" applyFont="1" applyBorder="1" applyAlignment="1" applyProtection="1">
      <alignment horizontal="center" vertical="center" wrapText="1"/>
      <protection locked="0"/>
    </xf>
    <xf numFmtId="0" fontId="32" fillId="0" borderId="77" xfId="0" applyFont="1" applyBorder="1" applyAlignment="1" applyProtection="1">
      <alignment horizontal="left" vertical="center" wrapText="1"/>
      <protection locked="0"/>
    </xf>
    <xf numFmtId="0" fontId="30" fillId="0" borderId="77" xfId="0" applyFont="1" applyBorder="1" applyAlignment="1" applyProtection="1">
      <alignment horizontal="center" vertical="center" wrapText="1"/>
      <protection locked="0"/>
    </xf>
    <xf numFmtId="0" fontId="42" fillId="0" borderId="77" xfId="0" applyFont="1" applyBorder="1" applyAlignment="1" applyProtection="1">
      <alignment horizontal="center" vertical="center" wrapText="1"/>
      <protection locked="0"/>
    </xf>
    <xf numFmtId="0" fontId="40" fillId="0" borderId="77" xfId="0" applyFont="1" applyBorder="1" applyAlignment="1" applyProtection="1">
      <alignment horizontal="center" vertical="center" wrapText="1"/>
      <protection locked="0"/>
    </xf>
    <xf numFmtId="0" fontId="31" fillId="0" borderId="66" xfId="0" applyFont="1" applyBorder="1" applyAlignment="1" applyProtection="1">
      <alignment horizontal="center" vertical="center" wrapText="1"/>
      <protection locked="0"/>
    </xf>
    <xf numFmtId="167" fontId="31" fillId="0" borderId="77" xfId="0" applyNumberFormat="1" applyFont="1" applyBorder="1" applyAlignment="1" applyProtection="1">
      <alignment horizontal="center" vertical="center" wrapText="1"/>
      <protection locked="0"/>
    </xf>
    <xf numFmtId="0" fontId="36" fillId="0" borderId="40" xfId="0" applyFont="1" applyBorder="1" applyAlignment="1" applyProtection="1">
      <alignment horizontal="center" vertical="center" wrapText="1"/>
      <protection locked="0"/>
    </xf>
    <xf numFmtId="0" fontId="36" fillId="0" borderId="59" xfId="0" applyFont="1" applyBorder="1" applyAlignment="1" applyProtection="1">
      <alignment horizontal="center" vertical="center" wrapText="1"/>
      <protection locked="0"/>
    </xf>
    <xf numFmtId="167" fontId="31" fillId="0" borderId="39" xfId="0" applyNumberFormat="1" applyFont="1" applyBorder="1" applyAlignment="1" applyProtection="1">
      <alignment horizontal="center" vertical="center" wrapText="1"/>
      <protection locked="0"/>
    </xf>
    <xf numFmtId="0" fontId="38" fillId="0" borderId="59" xfId="0" applyFont="1" applyBorder="1" applyAlignment="1" applyProtection="1">
      <alignment horizontal="center" vertical="center" wrapText="1"/>
      <protection locked="0"/>
    </xf>
    <xf numFmtId="0" fontId="33" fillId="21" borderId="59" xfId="0" applyFont="1" applyFill="1" applyBorder="1" applyAlignment="1" applyProtection="1">
      <alignment horizontal="center" vertical="center" wrapText="1"/>
      <protection locked="0"/>
    </xf>
    <xf numFmtId="0" fontId="31" fillId="0" borderId="40" xfId="0" applyFont="1" applyBorder="1" applyAlignment="1" applyProtection="1">
      <alignment horizontal="right" vertical="center" wrapText="1" indent="1"/>
      <protection locked="0"/>
    </xf>
    <xf numFmtId="0" fontId="31" fillId="0" borderId="59" xfId="0" applyFont="1" applyBorder="1" applyAlignment="1" applyProtection="1">
      <alignment horizontal="right" vertical="center" wrapText="1" indent="1"/>
      <protection locked="0"/>
    </xf>
    <xf numFmtId="167" fontId="31" fillId="0" borderId="40" xfId="0" applyNumberFormat="1" applyFont="1" applyBorder="1" applyAlignment="1" applyProtection="1">
      <alignment horizontal="center" vertical="center" wrapText="1"/>
      <protection locked="0"/>
    </xf>
    <xf numFmtId="167" fontId="31" fillId="0" borderId="59" xfId="0" applyNumberFormat="1" applyFont="1" applyBorder="1" applyAlignment="1" applyProtection="1">
      <alignment horizontal="center" vertical="center" wrapText="1"/>
      <protection locked="0"/>
    </xf>
    <xf numFmtId="0" fontId="0" fillId="2" borderId="0" xfId="0" applyFill="1" applyProtection="1">
      <protection locked="0"/>
    </xf>
    <xf numFmtId="0" fontId="0" fillId="2" borderId="0" xfId="0" applyFill="1" applyAlignment="1" applyProtection="1">
      <alignment horizontal="center" vertical="center"/>
      <protection locked="0"/>
    </xf>
    <xf numFmtId="167" fontId="25" fillId="20" borderId="39" xfId="0" applyNumberFormat="1" applyFont="1" applyFill="1" applyBorder="1" applyAlignment="1" applyProtection="1">
      <alignment wrapText="1"/>
      <protection locked="0"/>
    </xf>
    <xf numFmtId="0" fontId="31" fillId="0" borderId="61" xfId="0" applyFont="1" applyBorder="1" applyAlignment="1" applyProtection="1">
      <alignment horizontal="center" vertical="center" wrapText="1"/>
      <protection locked="0"/>
    </xf>
    <xf numFmtId="167" fontId="31" fillId="0" borderId="62" xfId="0" applyNumberFormat="1" applyFont="1" applyBorder="1" applyAlignment="1" applyProtection="1">
      <alignment horizontal="center" vertical="center" wrapText="1"/>
      <protection locked="0"/>
    </xf>
    <xf numFmtId="0" fontId="31" fillId="0" borderId="62" xfId="0" applyFont="1" applyBorder="1" applyAlignment="1" applyProtection="1">
      <alignment horizontal="center" vertical="center" wrapText="1"/>
      <protection locked="0"/>
    </xf>
    <xf numFmtId="167" fontId="25" fillId="20" borderId="61" xfId="0" applyNumberFormat="1" applyFont="1" applyFill="1" applyBorder="1" applyAlignment="1" applyProtection="1">
      <alignment wrapText="1"/>
      <protection locked="0"/>
    </xf>
    <xf numFmtId="1" fontId="25" fillId="20" borderId="62" xfId="0" applyNumberFormat="1" applyFont="1" applyFill="1" applyBorder="1" applyAlignment="1" applyProtection="1">
      <alignment horizontal="center" vertical="center" wrapText="1"/>
      <protection locked="0"/>
    </xf>
    <xf numFmtId="44" fontId="25" fillId="20" borderId="63" xfId="0" applyNumberFormat="1" applyFont="1" applyFill="1" applyBorder="1" applyAlignment="1" applyProtection="1">
      <alignment wrapText="1"/>
      <protection locked="0"/>
    </xf>
    <xf numFmtId="0" fontId="0" fillId="0" borderId="0" xfId="0" applyAlignment="1">
      <alignment horizontal="center"/>
    </xf>
    <xf numFmtId="0" fontId="11" fillId="4" borderId="27" xfId="0" applyFont="1" applyFill="1" applyBorder="1" applyAlignment="1">
      <alignment horizontal="center" vertical="center"/>
    </xf>
    <xf numFmtId="0" fontId="11" fillId="4" borderId="28" xfId="0" applyFont="1" applyFill="1" applyBorder="1" applyAlignment="1">
      <alignment horizontal="center" vertical="center"/>
    </xf>
    <xf numFmtId="0" fontId="11" fillId="4" borderId="29" xfId="0" applyFont="1" applyFill="1" applyBorder="1" applyAlignment="1">
      <alignment horizontal="center" vertical="center"/>
    </xf>
    <xf numFmtId="0" fontId="12" fillId="6" borderId="21" xfId="0" applyFont="1" applyFill="1" applyBorder="1" applyAlignment="1">
      <alignment horizontal="center" vertical="center"/>
    </xf>
    <xf numFmtId="0" fontId="12" fillId="6" borderId="22" xfId="0" applyFont="1" applyFill="1" applyBorder="1" applyAlignment="1">
      <alignment horizontal="center" vertical="center"/>
    </xf>
    <xf numFmtId="0" fontId="12" fillId="6" borderId="23" xfId="0" applyFont="1" applyFill="1" applyBorder="1" applyAlignment="1">
      <alignment horizontal="center" vertical="center"/>
    </xf>
    <xf numFmtId="0" fontId="17" fillId="0" borderId="44" xfId="0" applyFont="1" applyBorder="1" applyAlignment="1">
      <alignment horizontal="center" vertical="center"/>
    </xf>
    <xf numFmtId="0" fontId="17" fillId="0" borderId="45" xfId="0" applyFont="1" applyBorder="1" applyAlignment="1">
      <alignment horizontal="center" vertical="center"/>
    </xf>
    <xf numFmtId="0" fontId="16" fillId="9" borderId="18" xfId="0" applyFont="1" applyFill="1" applyBorder="1" applyAlignment="1">
      <alignment horizontal="center" vertical="center" wrapText="1"/>
    </xf>
    <xf numFmtId="0" fontId="16" fillId="9" borderId="19" xfId="0" applyFont="1" applyFill="1" applyBorder="1" applyAlignment="1">
      <alignment horizontal="center" vertical="center" wrapText="1"/>
    </xf>
    <xf numFmtId="0" fontId="16" fillId="9" borderId="20" xfId="0" applyFont="1" applyFill="1" applyBorder="1" applyAlignment="1">
      <alignment horizontal="center" vertical="center" wrapText="1"/>
    </xf>
    <xf numFmtId="0" fontId="17" fillId="8" borderId="44" xfId="0" applyFont="1" applyFill="1" applyBorder="1" applyAlignment="1">
      <alignment horizontal="center" vertical="center"/>
    </xf>
    <xf numFmtId="0" fontId="17" fillId="8" borderId="38" xfId="0" applyFont="1" applyFill="1" applyBorder="1" applyAlignment="1">
      <alignment horizontal="center" vertical="center"/>
    </xf>
    <xf numFmtId="0" fontId="17" fillId="0" borderId="44" xfId="0" applyFont="1" applyBorder="1" applyAlignment="1">
      <alignment horizontal="center"/>
    </xf>
    <xf numFmtId="0" fontId="17" fillId="0" borderId="38" xfId="0" applyFont="1" applyBorder="1" applyAlignment="1">
      <alignment horizontal="center"/>
    </xf>
    <xf numFmtId="0" fontId="17" fillId="8" borderId="44" xfId="0" applyFont="1" applyFill="1" applyBorder="1" applyAlignment="1">
      <alignment horizontal="center"/>
    </xf>
    <xf numFmtId="0" fontId="17" fillId="8" borderId="38" xfId="0" applyFont="1" applyFill="1" applyBorder="1" applyAlignment="1">
      <alignment horizontal="center"/>
    </xf>
    <xf numFmtId="0" fontId="17" fillId="0" borderId="38" xfId="0" applyFont="1" applyBorder="1" applyAlignment="1">
      <alignment horizontal="center" vertical="center"/>
    </xf>
    <xf numFmtId="1" fontId="16" fillId="2" borderId="44" xfId="0" applyNumberFormat="1" applyFont="1" applyFill="1" applyBorder="1" applyAlignment="1">
      <alignment horizontal="center" vertical="center" wrapText="1"/>
    </xf>
    <xf numFmtId="1" fontId="16" fillId="2" borderId="45" xfId="0" applyNumberFormat="1" applyFont="1" applyFill="1" applyBorder="1" applyAlignment="1">
      <alignment horizontal="center" vertical="center" wrapText="1"/>
    </xf>
    <xf numFmtId="1" fontId="16" fillId="2" borderId="38" xfId="0" applyNumberFormat="1" applyFont="1" applyFill="1" applyBorder="1" applyAlignment="1">
      <alignment horizontal="center" vertical="center" wrapText="1"/>
    </xf>
    <xf numFmtId="0" fontId="11" fillId="10" borderId="27" xfId="0" applyFont="1" applyFill="1" applyBorder="1" applyAlignment="1">
      <alignment horizontal="center" vertical="center"/>
    </xf>
    <xf numFmtId="0" fontId="11" fillId="10" borderId="28" xfId="0" applyFont="1" applyFill="1" applyBorder="1" applyAlignment="1">
      <alignment horizontal="center" vertical="center"/>
    </xf>
    <xf numFmtId="0" fontId="11" fillId="10" borderId="29" xfId="0" applyFont="1" applyFill="1" applyBorder="1" applyAlignment="1">
      <alignment horizontal="center" vertical="center"/>
    </xf>
    <xf numFmtId="0" fontId="12" fillId="6" borderId="18" xfId="0" applyFont="1" applyFill="1" applyBorder="1" applyAlignment="1">
      <alignment horizontal="center" vertical="center"/>
    </xf>
    <xf numFmtId="0" fontId="12" fillId="6" borderId="19" xfId="0" applyFont="1" applyFill="1" applyBorder="1" applyAlignment="1">
      <alignment horizontal="center" vertical="center"/>
    </xf>
    <xf numFmtId="0" fontId="12" fillId="6" borderId="20" xfId="0" applyFont="1" applyFill="1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10" fillId="0" borderId="56" xfId="0" applyFont="1" applyBorder="1" applyAlignment="1">
      <alignment horizontal="center" vertical="center" wrapText="1"/>
    </xf>
    <xf numFmtId="0" fontId="10" fillId="0" borderId="57" xfId="0" applyFont="1" applyBorder="1" applyAlignment="1">
      <alignment horizontal="center" vertical="center" wrapText="1"/>
    </xf>
    <xf numFmtId="0" fontId="0" fillId="0" borderId="60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27" fillId="2" borderId="67" xfId="0" applyFont="1" applyFill="1" applyBorder="1" applyAlignment="1" applyProtection="1">
      <alignment horizontal="left" vertical="center" wrapText="1"/>
      <protection locked="0"/>
    </xf>
    <xf numFmtId="0" fontId="27" fillId="0" borderId="62" xfId="0" applyFont="1" applyBorder="1" applyAlignment="1" applyProtection="1">
      <alignment horizontal="center" vertical="center" wrapText="1"/>
      <protection locked="0"/>
    </xf>
    <xf numFmtId="0" fontId="27" fillId="2" borderId="70" xfId="0" applyFont="1" applyFill="1" applyBorder="1" applyAlignment="1" applyProtection="1">
      <alignment horizontal="center" vertical="center" wrapText="1"/>
      <protection locked="0"/>
    </xf>
    <xf numFmtId="167" fontId="26" fillId="19" borderId="70" xfId="2" applyNumberFormat="1" applyFont="1" applyFill="1" applyBorder="1" applyAlignment="1" applyProtection="1">
      <alignment horizontal="center" vertical="center" wrapText="1"/>
      <protection locked="0"/>
    </xf>
    <xf numFmtId="0" fontId="25" fillId="8" borderId="67" xfId="0" applyFont="1" applyFill="1" applyBorder="1" applyAlignment="1" applyProtection="1">
      <alignment horizontal="center" vertical="center" wrapText="1"/>
      <protection locked="0"/>
    </xf>
    <xf numFmtId="0" fontId="25" fillId="8" borderId="68" xfId="0" applyFont="1" applyFill="1" applyBorder="1" applyAlignment="1" applyProtection="1">
      <alignment horizontal="center" vertical="center" wrapText="1"/>
      <protection locked="0"/>
    </xf>
    <xf numFmtId="0" fontId="27" fillId="8" borderId="67" xfId="0" applyFont="1" applyFill="1" applyBorder="1" applyAlignment="1" applyProtection="1">
      <alignment horizontal="left" vertical="center" wrapText="1"/>
      <protection locked="0"/>
    </xf>
    <xf numFmtId="0" fontId="27" fillId="8" borderId="68" xfId="0" applyFont="1" applyFill="1" applyBorder="1" applyAlignment="1" applyProtection="1">
      <alignment horizontal="left" vertical="center" wrapText="1"/>
      <protection locked="0"/>
    </xf>
    <xf numFmtId="0" fontId="27" fillId="8" borderId="62" xfId="0" applyFont="1" applyFill="1" applyBorder="1" applyAlignment="1" applyProtection="1">
      <alignment horizontal="center" vertical="center" wrapText="1"/>
      <protection locked="0"/>
    </xf>
    <xf numFmtId="0" fontId="27" fillId="8" borderId="63" xfId="0" applyFont="1" applyFill="1" applyBorder="1" applyAlignment="1" applyProtection="1">
      <alignment horizontal="center" vertical="center" wrapText="1"/>
      <protection locked="0"/>
    </xf>
    <xf numFmtId="0" fontId="27" fillId="8" borderId="70" xfId="0" applyFont="1" applyFill="1" applyBorder="1" applyAlignment="1" applyProtection="1">
      <alignment horizontal="center" vertical="center" wrapText="1"/>
      <protection locked="0"/>
    </xf>
    <xf numFmtId="0" fontId="27" fillId="0" borderId="71" xfId="0" applyFont="1" applyBorder="1" applyAlignment="1" applyProtection="1">
      <alignment horizontal="center" vertical="center" wrapText="1"/>
      <protection locked="0"/>
    </xf>
    <xf numFmtId="167" fontId="26" fillId="19" borderId="71" xfId="2" applyNumberFormat="1" applyFont="1" applyFill="1" applyBorder="1" applyAlignment="1" applyProtection="1">
      <alignment horizontal="center" vertical="center" wrapText="1"/>
      <protection locked="0"/>
    </xf>
    <xf numFmtId="0" fontId="25" fillId="2" borderId="67" xfId="0" applyFont="1" applyFill="1" applyBorder="1" applyAlignment="1" applyProtection="1">
      <alignment horizontal="center" vertical="center" wrapText="1"/>
      <protection locked="0"/>
    </xf>
    <xf numFmtId="0" fontId="27" fillId="2" borderId="62" xfId="0" applyFont="1" applyFill="1" applyBorder="1" applyAlignment="1" applyProtection="1">
      <alignment horizontal="center" vertical="center" wrapText="1"/>
      <protection locked="0"/>
    </xf>
    <xf numFmtId="0" fontId="27" fillId="0" borderId="70" xfId="0" applyFont="1" applyBorder="1" applyAlignment="1" applyProtection="1">
      <alignment horizontal="center" vertical="center" wrapText="1"/>
      <protection locked="0"/>
    </xf>
    <xf numFmtId="0" fontId="25" fillId="20" borderId="21" xfId="0" applyFont="1" applyFill="1" applyBorder="1" applyAlignment="1" applyProtection="1">
      <alignment horizontal="center" wrapText="1"/>
      <protection locked="0"/>
    </xf>
    <xf numFmtId="0" fontId="25" fillId="20" borderId="22" xfId="0" applyFont="1" applyFill="1" applyBorder="1" applyAlignment="1" applyProtection="1">
      <alignment horizontal="center" wrapText="1"/>
      <protection locked="0"/>
    </xf>
    <xf numFmtId="0" fontId="25" fillId="20" borderId="23" xfId="0" applyFont="1" applyFill="1" applyBorder="1" applyAlignment="1" applyProtection="1">
      <alignment horizontal="center" wrapText="1"/>
      <protection locked="0"/>
    </xf>
    <xf numFmtId="0" fontId="21" fillId="20" borderId="18" xfId="0" applyFont="1" applyFill="1" applyBorder="1" applyAlignment="1" applyProtection="1">
      <alignment horizontal="center" wrapText="1"/>
      <protection locked="0"/>
    </xf>
    <xf numFmtId="0" fontId="21" fillId="20" borderId="19" xfId="0" applyFont="1" applyFill="1" applyBorder="1" applyAlignment="1" applyProtection="1">
      <alignment horizontal="center" wrapText="1"/>
      <protection locked="0"/>
    </xf>
    <xf numFmtId="0" fontId="21" fillId="20" borderId="20" xfId="0" applyFont="1" applyFill="1" applyBorder="1" applyAlignment="1" applyProtection="1">
      <alignment horizontal="center" wrapText="1"/>
      <protection locked="0"/>
    </xf>
    <xf numFmtId="0" fontId="25" fillId="20" borderId="18" xfId="0" applyFont="1" applyFill="1" applyBorder="1" applyAlignment="1" applyProtection="1">
      <alignment horizontal="center" wrapText="1"/>
      <protection locked="0"/>
    </xf>
    <xf numFmtId="0" fontId="25" fillId="20" borderId="19" xfId="0" applyFont="1" applyFill="1" applyBorder="1" applyAlignment="1" applyProtection="1">
      <alignment horizontal="center" wrapText="1"/>
      <protection locked="0"/>
    </xf>
    <xf numFmtId="0" fontId="25" fillId="20" borderId="20" xfId="0" applyFont="1" applyFill="1" applyBorder="1" applyAlignment="1" applyProtection="1">
      <alignment horizontal="center" wrapText="1"/>
      <protection locked="0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/>
      <protection locked="0"/>
    </xf>
    <xf numFmtId="0" fontId="0" fillId="0" borderId="19" xfId="0" applyBorder="1" applyAlignment="1" applyProtection="1">
      <alignment horizontal="center"/>
      <protection locked="0"/>
    </xf>
    <xf numFmtId="0" fontId="0" fillId="0" borderId="20" xfId="0" applyBorder="1" applyAlignment="1" applyProtection="1">
      <alignment horizontal="center"/>
      <protection locked="0"/>
    </xf>
    <xf numFmtId="0" fontId="26" fillId="2" borderId="67" xfId="0" applyFont="1" applyFill="1" applyBorder="1" applyAlignment="1" applyProtection="1">
      <alignment horizontal="left" vertical="center" wrapText="1"/>
      <protection locked="0"/>
    </xf>
    <xf numFmtId="0" fontId="26" fillId="2" borderId="62" xfId="0" applyFont="1" applyFill="1" applyBorder="1" applyAlignment="1" applyProtection="1">
      <alignment horizontal="center" vertical="center" wrapText="1"/>
      <protection locked="0"/>
    </xf>
    <xf numFmtId="0" fontId="26" fillId="2" borderId="70" xfId="0" applyFont="1" applyFill="1" applyBorder="1" applyAlignment="1" applyProtection="1">
      <alignment horizontal="center" vertical="center" wrapText="1"/>
      <protection locked="0"/>
    </xf>
    <xf numFmtId="0" fontId="25" fillId="2" borderId="27" xfId="0" applyFont="1" applyFill="1" applyBorder="1" applyAlignment="1" applyProtection="1">
      <alignment horizontal="center" vertical="center" wrapText="1"/>
      <protection locked="0"/>
    </xf>
    <xf numFmtId="0" fontId="25" fillId="2" borderId="26" xfId="0" applyFont="1" applyFill="1" applyBorder="1" applyAlignment="1" applyProtection="1">
      <alignment horizontal="center" vertical="center" wrapText="1"/>
      <protection locked="0"/>
    </xf>
    <xf numFmtId="0" fontId="26" fillId="2" borderId="44" xfId="0" applyFont="1" applyFill="1" applyBorder="1" applyAlignment="1" applyProtection="1">
      <alignment horizontal="center" vertical="center" wrapText="1"/>
      <protection locked="0"/>
    </xf>
    <xf numFmtId="0" fontId="26" fillId="2" borderId="45" xfId="0" applyFont="1" applyFill="1" applyBorder="1" applyAlignment="1" applyProtection="1">
      <alignment horizontal="center" vertical="center" wrapText="1"/>
      <protection locked="0"/>
    </xf>
    <xf numFmtId="164" fontId="26" fillId="2" borderId="29" xfId="6" applyFont="1" applyFill="1" applyBorder="1" applyAlignment="1" applyProtection="1">
      <alignment horizontal="center" vertical="center" wrapText="1"/>
      <protection locked="0"/>
    </xf>
    <xf numFmtId="164" fontId="26" fillId="2" borderId="30" xfId="6" applyFont="1" applyFill="1" applyBorder="1" applyAlignment="1" applyProtection="1">
      <alignment horizontal="center" vertical="center" wrapText="1"/>
      <protection locked="0"/>
    </xf>
    <xf numFmtId="0" fontId="27" fillId="8" borderId="67" xfId="0" applyFont="1" applyFill="1" applyBorder="1" applyAlignment="1" applyProtection="1">
      <alignment horizontal="center" vertical="center" wrapText="1"/>
      <protection locked="0"/>
    </xf>
    <xf numFmtId="0" fontId="26" fillId="8" borderId="70" xfId="0" applyFont="1" applyFill="1" applyBorder="1" applyAlignment="1" applyProtection="1">
      <alignment horizontal="center" vertical="center" wrapText="1"/>
      <protection locked="0"/>
    </xf>
    <xf numFmtId="0" fontId="26" fillId="8" borderId="62" xfId="0" applyFont="1" applyFill="1" applyBorder="1" applyAlignment="1" applyProtection="1">
      <alignment horizontal="center" vertical="center" wrapText="1"/>
      <protection locked="0"/>
    </xf>
    <xf numFmtId="44" fontId="4" fillId="18" borderId="3" xfId="0" applyNumberFormat="1" applyFont="1" applyFill="1" applyBorder="1" applyAlignment="1" applyProtection="1">
      <alignment horizontal="center" vertical="center" wrapText="1"/>
      <protection locked="0"/>
    </xf>
    <xf numFmtId="0" fontId="25" fillId="8" borderId="49" xfId="0" applyFont="1" applyFill="1" applyBorder="1" applyAlignment="1" applyProtection="1">
      <alignment horizontal="center" vertical="center" wrapText="1"/>
      <protection locked="0"/>
    </xf>
    <xf numFmtId="0" fontId="26" fillId="8" borderId="49" xfId="0" applyFont="1" applyFill="1" applyBorder="1" applyAlignment="1" applyProtection="1">
      <alignment horizontal="left" vertical="center" wrapText="1"/>
      <protection locked="0"/>
    </xf>
    <xf numFmtId="0" fontId="26" fillId="8" borderId="67" xfId="0" applyFont="1" applyFill="1" applyBorder="1" applyAlignment="1" applyProtection="1">
      <alignment horizontal="left" vertical="center" wrapText="1"/>
      <protection locked="0"/>
    </xf>
    <xf numFmtId="0" fontId="43" fillId="8" borderId="61" xfId="0" applyFont="1" applyFill="1" applyBorder="1" applyAlignment="1" applyProtection="1">
      <alignment horizontal="center" vertical="center" wrapText="1"/>
      <protection locked="0"/>
    </xf>
    <xf numFmtId="0" fontId="43" fillId="8" borderId="62" xfId="0" applyFont="1" applyFill="1" applyBorder="1" applyAlignment="1" applyProtection="1">
      <alignment horizontal="center" vertical="center" wrapText="1"/>
      <protection locked="0"/>
    </xf>
    <xf numFmtId="0" fontId="26" fillId="8" borderId="69" xfId="0" applyFont="1" applyFill="1" applyBorder="1" applyAlignment="1" applyProtection="1">
      <alignment horizontal="center" vertical="center" wrapText="1"/>
      <protection locked="0"/>
    </xf>
    <xf numFmtId="167" fontId="26" fillId="19" borderId="69" xfId="2" applyNumberFormat="1" applyFont="1" applyFill="1" applyBorder="1" applyAlignment="1" applyProtection="1">
      <alignment horizontal="center" vertical="center" wrapText="1"/>
      <protection locked="0"/>
    </xf>
    <xf numFmtId="0" fontId="27" fillId="2" borderId="67" xfId="0" applyFont="1" applyFill="1" applyBorder="1" applyAlignment="1" applyProtection="1">
      <alignment horizontal="center" vertical="center" wrapText="1"/>
      <protection locked="0"/>
    </xf>
    <xf numFmtId="0" fontId="27" fillId="16" borderId="67" xfId="0" applyFont="1" applyFill="1" applyBorder="1" applyAlignment="1" applyProtection="1">
      <alignment horizontal="left" vertical="center" wrapText="1"/>
      <protection locked="0"/>
    </xf>
    <xf numFmtId="0" fontId="27" fillId="16" borderId="62" xfId="0" applyFont="1" applyFill="1" applyBorder="1" applyAlignment="1" applyProtection="1">
      <alignment horizontal="center" vertical="center" wrapText="1"/>
      <protection locked="0"/>
    </xf>
    <xf numFmtId="0" fontId="27" fillId="8" borderId="67" xfId="2" applyNumberFormat="1" applyFont="1" applyFill="1" applyBorder="1" applyAlignment="1" applyProtection="1">
      <alignment horizontal="left" vertical="center" wrapText="1"/>
      <protection locked="0"/>
    </xf>
    <xf numFmtId="0" fontId="27" fillId="2" borderId="72" xfId="0" applyFont="1" applyFill="1" applyBorder="1" applyAlignment="1" applyProtection="1">
      <alignment horizontal="left" vertical="center" wrapText="1"/>
      <protection locked="0"/>
    </xf>
    <xf numFmtId="0" fontId="27" fillId="2" borderId="73" xfId="0" applyFont="1" applyFill="1" applyBorder="1" applyAlignment="1" applyProtection="1">
      <alignment horizontal="left" vertical="center" wrapText="1"/>
      <protection locked="0"/>
    </xf>
    <xf numFmtId="0" fontId="25" fillId="2" borderId="67" xfId="0" applyFont="1" applyFill="1" applyBorder="1" applyAlignment="1" applyProtection="1">
      <alignment horizontal="left" vertical="center" wrapText="1"/>
      <protection locked="0"/>
    </xf>
    <xf numFmtId="0" fontId="25" fillId="8" borderId="67" xfId="0" applyFont="1" applyFill="1" applyBorder="1" applyAlignment="1" applyProtection="1">
      <alignment horizontal="left" vertical="center" wrapText="1"/>
      <protection locked="0"/>
    </xf>
    <xf numFmtId="0" fontId="25" fillId="0" borderId="70" xfId="0" applyFont="1" applyBorder="1" applyAlignment="1" applyProtection="1">
      <alignment horizontal="center" vertical="center" wrapText="1"/>
      <protection locked="0"/>
    </xf>
    <xf numFmtId="0" fontId="26" fillId="0" borderId="62" xfId="0" applyFont="1" applyBorder="1" applyAlignment="1" applyProtection="1">
      <alignment horizontal="center" vertical="center" wrapText="1"/>
      <protection locked="0"/>
    </xf>
    <xf numFmtId="0" fontId="26" fillId="0" borderId="70" xfId="0" applyFont="1" applyBorder="1" applyAlignment="1" applyProtection="1">
      <alignment horizontal="center" vertical="center" wrapText="1"/>
      <protection locked="0"/>
    </xf>
    <xf numFmtId="0" fontId="26" fillId="2" borderId="18" xfId="0" applyFont="1" applyFill="1" applyBorder="1" applyAlignment="1" applyProtection="1">
      <alignment horizontal="center" vertical="center" wrapText="1"/>
      <protection locked="0"/>
    </xf>
    <xf numFmtId="0" fontId="26" fillId="2" borderId="19" xfId="0" applyFont="1" applyFill="1" applyBorder="1" applyAlignment="1" applyProtection="1">
      <alignment horizontal="center" vertical="center" wrapText="1"/>
      <protection locked="0"/>
    </xf>
    <xf numFmtId="0" fontId="26" fillId="2" borderId="20" xfId="0" applyFont="1" applyFill="1" applyBorder="1" applyAlignment="1" applyProtection="1">
      <alignment horizontal="center" vertical="center" wrapText="1"/>
      <protection locked="0"/>
    </xf>
    <xf numFmtId="0" fontId="26" fillId="16" borderId="67" xfId="0" applyFont="1" applyFill="1" applyBorder="1" applyAlignment="1" applyProtection="1">
      <alignment horizontal="left" vertical="center" wrapText="1"/>
      <protection locked="0"/>
    </xf>
    <xf numFmtId="0" fontId="26" fillId="16" borderId="62" xfId="0" applyFont="1" applyFill="1" applyBorder="1" applyAlignment="1" applyProtection="1">
      <alignment horizontal="center" vertical="center" wrapText="1"/>
      <protection locked="0"/>
    </xf>
    <xf numFmtId="0" fontId="28" fillId="8" borderId="67" xfId="0" applyFont="1" applyFill="1" applyBorder="1" applyAlignment="1" applyProtection="1">
      <alignment horizontal="center" vertical="center" wrapText="1"/>
      <protection locked="0"/>
    </xf>
    <xf numFmtId="0" fontId="28" fillId="8" borderId="67" xfId="0" applyFont="1" applyFill="1" applyBorder="1" applyAlignment="1" applyProtection="1">
      <alignment horizontal="left" vertical="center" wrapText="1"/>
      <protection locked="0"/>
    </xf>
    <xf numFmtId="0" fontId="28" fillId="8" borderId="62" xfId="0" applyFont="1" applyFill="1" applyBorder="1" applyAlignment="1" applyProtection="1">
      <alignment horizontal="center" vertical="center" wrapText="1"/>
      <protection locked="0"/>
    </xf>
    <xf numFmtId="0" fontId="28" fillId="8" borderId="70" xfId="0" applyFont="1" applyFill="1" applyBorder="1" applyAlignment="1" applyProtection="1">
      <alignment horizontal="center" vertical="center" wrapText="1"/>
      <protection locked="0"/>
    </xf>
    <xf numFmtId="167" fontId="28" fillId="19" borderId="70" xfId="2" applyNumberFormat="1" applyFont="1" applyFill="1" applyBorder="1" applyAlignment="1" applyProtection="1">
      <alignment horizontal="center" vertical="center" wrapText="1"/>
      <protection locked="0"/>
    </xf>
    <xf numFmtId="0" fontId="25" fillId="8" borderId="70" xfId="0" applyFont="1" applyFill="1" applyBorder="1" applyAlignment="1" applyProtection="1">
      <alignment horizontal="center" vertical="center" wrapText="1"/>
      <protection locked="0"/>
    </xf>
    <xf numFmtId="0" fontId="27" fillId="18" borderId="67" xfId="0" applyFont="1" applyFill="1" applyBorder="1" applyAlignment="1" applyProtection="1">
      <alignment horizontal="left" vertical="center" wrapText="1"/>
      <protection locked="0"/>
    </xf>
    <xf numFmtId="0" fontId="25" fillId="16" borderId="67" xfId="0" applyFont="1" applyFill="1" applyBorder="1" applyAlignment="1" applyProtection="1">
      <alignment horizontal="left" vertical="center" wrapText="1"/>
      <protection locked="0"/>
    </xf>
    <xf numFmtId="0" fontId="25" fillId="2" borderId="70" xfId="0" applyFont="1" applyFill="1" applyBorder="1" applyAlignment="1" applyProtection="1">
      <alignment horizontal="center" vertical="center" wrapText="1"/>
      <protection locked="0"/>
    </xf>
    <xf numFmtId="0" fontId="30" fillId="0" borderId="56" xfId="0" applyFont="1" applyBorder="1" applyAlignment="1" applyProtection="1">
      <alignment horizontal="center" vertical="center" wrapText="1"/>
      <protection locked="0"/>
    </xf>
    <xf numFmtId="0" fontId="30" fillId="0" borderId="74" xfId="0" applyFont="1" applyBorder="1" applyAlignment="1" applyProtection="1">
      <alignment horizontal="center" vertical="center" wrapText="1"/>
      <protection locked="0"/>
    </xf>
    <xf numFmtId="0" fontId="30" fillId="0" borderId="57" xfId="0" applyFont="1" applyBorder="1" applyAlignment="1" applyProtection="1">
      <alignment horizontal="left" vertical="center" wrapText="1"/>
      <protection locked="0"/>
    </xf>
    <xf numFmtId="0" fontId="30" fillId="0" borderId="78" xfId="0" applyFont="1" applyBorder="1" applyAlignment="1" applyProtection="1">
      <alignment horizontal="left" vertical="center" wrapText="1"/>
      <protection locked="0"/>
    </xf>
    <xf numFmtId="0" fontId="30" fillId="0" borderId="57" xfId="0" applyFont="1" applyBorder="1" applyAlignment="1" applyProtection="1">
      <alignment horizontal="center" vertical="center" wrapText="1"/>
      <protection locked="0"/>
    </xf>
    <xf numFmtId="0" fontId="30" fillId="0" borderId="78" xfId="0" applyFont="1" applyBorder="1" applyAlignment="1" applyProtection="1">
      <alignment horizontal="center" vertical="center" wrapText="1"/>
      <protection locked="0"/>
    </xf>
    <xf numFmtId="0" fontId="42" fillId="0" borderId="57" xfId="0" applyFont="1" applyBorder="1" applyAlignment="1" applyProtection="1">
      <alignment horizontal="center" vertical="center" wrapText="1"/>
      <protection locked="0"/>
    </xf>
    <xf numFmtId="0" fontId="42" fillId="0" borderId="78" xfId="0" applyFont="1" applyBorder="1" applyAlignment="1" applyProtection="1">
      <alignment horizontal="center" vertical="center" wrapText="1"/>
      <protection locked="0"/>
    </xf>
    <xf numFmtId="0" fontId="40" fillId="0" borderId="57" xfId="0" applyFont="1" applyBorder="1" applyAlignment="1" applyProtection="1">
      <alignment horizontal="center" vertical="center" wrapText="1"/>
      <protection locked="0"/>
    </xf>
    <xf numFmtId="0" fontId="40" fillId="0" borderId="78" xfId="0" applyFont="1" applyBorder="1" applyAlignment="1" applyProtection="1">
      <alignment horizontal="center" vertical="center" wrapText="1"/>
      <protection locked="0"/>
    </xf>
    <xf numFmtId="167" fontId="26" fillId="19" borderId="58" xfId="2" applyNumberFormat="1" applyFont="1" applyFill="1" applyBorder="1" applyAlignment="1" applyProtection="1">
      <alignment horizontal="center" vertical="center" wrapText="1"/>
      <protection locked="0"/>
    </xf>
    <xf numFmtId="167" fontId="26" fillId="19" borderId="81" xfId="2" applyNumberFormat="1" applyFont="1" applyFill="1" applyBorder="1" applyAlignment="1" applyProtection="1">
      <alignment horizontal="center" vertical="center" wrapText="1"/>
      <protection locked="0"/>
    </xf>
    <xf numFmtId="0" fontId="40" fillId="0" borderId="57" xfId="0" applyFont="1" applyBorder="1" applyAlignment="1" applyProtection="1">
      <alignment vertical="center" wrapText="1"/>
      <protection locked="0"/>
    </xf>
    <xf numFmtId="0" fontId="40" fillId="0" borderId="78" xfId="0" applyFont="1" applyBorder="1" applyAlignment="1" applyProtection="1">
      <alignment vertical="center" wrapText="1"/>
      <protection locked="0"/>
    </xf>
    <xf numFmtId="0" fontId="40" fillId="0" borderId="57" xfId="0" applyFont="1" applyBorder="1" applyAlignment="1" applyProtection="1">
      <alignment horizontal="left" vertical="center" wrapText="1"/>
      <protection locked="0"/>
    </xf>
    <xf numFmtId="0" fontId="40" fillId="0" borderId="78" xfId="0" applyFont="1" applyBorder="1" applyAlignment="1" applyProtection="1">
      <alignment horizontal="left" vertical="center" wrapText="1"/>
      <protection locked="0"/>
    </xf>
    <xf numFmtId="0" fontId="0" fillId="2" borderId="18" xfId="0" applyFill="1" applyBorder="1" applyAlignment="1" applyProtection="1">
      <alignment horizontal="center"/>
      <protection locked="0"/>
    </xf>
    <xf numFmtId="0" fontId="0" fillId="2" borderId="19" xfId="0" applyFill="1" applyBorder="1" applyAlignment="1" applyProtection="1">
      <alignment horizontal="center"/>
      <protection locked="0"/>
    </xf>
    <xf numFmtId="0" fontId="0" fillId="2" borderId="20" xfId="0" applyFill="1" applyBorder="1" applyAlignment="1" applyProtection="1">
      <alignment horizontal="center"/>
      <protection locked="0"/>
    </xf>
    <xf numFmtId="0" fontId="30" fillId="0" borderId="65" xfId="0" applyFont="1" applyBorder="1" applyAlignment="1" applyProtection="1">
      <alignment horizontal="center" vertical="center" wrapText="1"/>
      <protection locked="0"/>
    </xf>
    <xf numFmtId="0" fontId="30" fillId="0" borderId="64" xfId="0" applyFont="1" applyBorder="1" applyAlignment="1" applyProtection="1">
      <alignment horizontal="center" vertical="center" wrapText="1"/>
      <protection locked="0"/>
    </xf>
    <xf numFmtId="0" fontId="32" fillId="0" borderId="6" xfId="0" applyFont="1" applyBorder="1" applyAlignment="1" applyProtection="1">
      <alignment vertical="center" wrapText="1"/>
      <protection locked="0"/>
    </xf>
    <xf numFmtId="0" fontId="32" fillId="0" borderId="59" xfId="0" applyFont="1" applyBorder="1" applyAlignment="1" applyProtection="1">
      <alignment vertical="center" wrapText="1"/>
      <protection locked="0"/>
    </xf>
    <xf numFmtId="0" fontId="30" fillId="0" borderId="6" xfId="0" applyFont="1" applyBorder="1" applyAlignment="1" applyProtection="1">
      <alignment horizontal="center" vertical="center" wrapText="1"/>
      <protection locked="0"/>
    </xf>
    <xf numFmtId="0" fontId="30" fillId="0" borderId="59" xfId="0" applyFont="1" applyBorder="1" applyAlignment="1" applyProtection="1">
      <alignment horizontal="center" vertical="center" wrapText="1"/>
      <protection locked="0"/>
    </xf>
    <xf numFmtId="0" fontId="42" fillId="0" borderId="6" xfId="0" applyFont="1" applyBorder="1" applyAlignment="1" applyProtection="1">
      <alignment horizontal="center" vertical="center" wrapText="1"/>
      <protection locked="0"/>
    </xf>
    <xf numFmtId="0" fontId="42" fillId="0" borderId="59" xfId="0" applyFont="1" applyBorder="1" applyAlignment="1" applyProtection="1">
      <alignment horizontal="center" vertical="center" wrapText="1"/>
      <protection locked="0"/>
    </xf>
    <xf numFmtId="0" fontId="40" fillId="0" borderId="6" xfId="0" applyFont="1" applyBorder="1" applyAlignment="1" applyProtection="1">
      <alignment horizontal="center" vertical="center" wrapText="1"/>
      <protection locked="0"/>
    </xf>
    <xf numFmtId="0" fontId="40" fillId="0" borderId="59" xfId="0" applyFont="1" applyBorder="1" applyAlignment="1" applyProtection="1">
      <alignment horizontal="center" vertical="center" wrapText="1"/>
      <protection locked="0"/>
    </xf>
    <xf numFmtId="167" fontId="26" fillId="2" borderId="50" xfId="2" applyNumberFormat="1" applyFont="1" applyFill="1" applyBorder="1" applyAlignment="1" applyProtection="1">
      <alignment horizontal="center" vertical="center" wrapText="1"/>
      <protection locked="0"/>
    </xf>
    <xf numFmtId="167" fontId="26" fillId="2" borderId="9" xfId="2" applyNumberFormat="1" applyFont="1" applyFill="1" applyBorder="1" applyAlignment="1" applyProtection="1">
      <alignment horizontal="center" vertical="center" wrapText="1"/>
      <protection locked="0"/>
    </xf>
    <xf numFmtId="0" fontId="29" fillId="0" borderId="44" xfId="0" applyFont="1" applyBorder="1" applyAlignment="1" applyProtection="1">
      <alignment horizontal="center" vertical="center" wrapText="1"/>
      <protection locked="0"/>
    </xf>
    <xf numFmtId="0" fontId="29" fillId="0" borderId="38" xfId="0" applyFont="1" applyBorder="1" applyAlignment="1" applyProtection="1">
      <alignment horizontal="center" vertical="center" wrapText="1"/>
      <protection locked="0"/>
    </xf>
    <xf numFmtId="0" fontId="25" fillId="20" borderId="68" xfId="0" applyFont="1" applyFill="1" applyBorder="1" applyAlignment="1" applyProtection="1">
      <alignment horizontal="center" wrapText="1"/>
      <protection locked="0"/>
    </xf>
    <xf numFmtId="0" fontId="25" fillId="20" borderId="71" xfId="0" applyFont="1" applyFill="1" applyBorder="1" applyAlignment="1" applyProtection="1">
      <alignment horizontal="center" wrapText="1"/>
      <protection locked="0"/>
    </xf>
    <xf numFmtId="0" fontId="30" fillId="0" borderId="59" xfId="0" applyFont="1" applyBorder="1" applyAlignment="1" applyProtection="1">
      <alignment horizontal="left" vertical="center" wrapText="1"/>
      <protection locked="0"/>
    </xf>
    <xf numFmtId="167" fontId="26" fillId="2" borderId="58" xfId="2" applyNumberFormat="1" applyFont="1" applyFill="1" applyBorder="1" applyAlignment="1" applyProtection="1">
      <alignment horizontal="center" vertical="center" wrapText="1"/>
      <protection locked="0"/>
    </xf>
    <xf numFmtId="0" fontId="29" fillId="0" borderId="18" xfId="0" applyFont="1" applyBorder="1" applyAlignment="1" applyProtection="1">
      <alignment horizontal="center" vertical="center" wrapText="1"/>
      <protection locked="0"/>
    </xf>
    <xf numFmtId="0" fontId="29" fillId="0" borderId="19" xfId="0" applyFont="1" applyBorder="1" applyAlignment="1" applyProtection="1">
      <alignment horizontal="center" vertical="center" wrapText="1"/>
      <protection locked="0"/>
    </xf>
    <xf numFmtId="0" fontId="29" fillId="0" borderId="20" xfId="0" applyFont="1" applyBorder="1" applyAlignment="1" applyProtection="1">
      <alignment horizontal="center" vertical="center" wrapText="1"/>
      <protection locked="0"/>
    </xf>
    <xf numFmtId="167" fontId="27" fillId="19" borderId="82" xfId="2" applyNumberFormat="1" applyFont="1" applyFill="1" applyBorder="1" applyAlignment="1" applyProtection="1">
      <alignment horizontal="center" vertical="center" wrapText="1"/>
      <protection locked="0"/>
    </xf>
    <xf numFmtId="167" fontId="27" fillId="19" borderId="83" xfId="2" applyNumberFormat="1" applyFont="1" applyFill="1" applyBorder="1" applyAlignment="1" applyProtection="1">
      <alignment horizontal="center" vertical="center" wrapText="1"/>
      <protection locked="0"/>
    </xf>
    <xf numFmtId="0" fontId="32" fillId="0" borderId="57" xfId="0" applyFont="1" applyBorder="1" applyAlignment="1" applyProtection="1">
      <alignment horizontal="left" vertical="center" wrapText="1"/>
      <protection locked="0"/>
    </xf>
    <xf numFmtId="0" fontId="32" fillId="0" borderId="78" xfId="0" applyFont="1" applyBorder="1" applyAlignment="1" applyProtection="1">
      <alignment horizontal="left" vertical="center" wrapText="1"/>
      <protection locked="0"/>
    </xf>
    <xf numFmtId="0" fontId="32" fillId="0" borderId="57" xfId="0" applyFont="1" applyBorder="1" applyAlignment="1" applyProtection="1">
      <alignment horizontal="center" vertical="center" wrapText="1"/>
      <protection locked="0"/>
    </xf>
    <xf numFmtId="0" fontId="32" fillId="0" borderId="78" xfId="0" applyFont="1" applyBorder="1" applyAlignment="1" applyProtection="1">
      <alignment horizontal="center" vertical="center" wrapText="1"/>
      <protection locked="0"/>
    </xf>
    <xf numFmtId="0" fontId="45" fillId="0" borderId="57" xfId="0" applyFont="1" applyBorder="1" applyAlignment="1" applyProtection="1">
      <alignment horizontal="center" vertical="center" wrapText="1"/>
      <protection locked="0"/>
    </xf>
    <xf numFmtId="0" fontId="45" fillId="0" borderId="78" xfId="0" applyFont="1" applyBorder="1" applyAlignment="1" applyProtection="1">
      <alignment horizontal="center" vertical="center" wrapText="1"/>
      <protection locked="0"/>
    </xf>
    <xf numFmtId="0" fontId="46" fillId="0" borderId="57" xfId="0" applyFont="1" applyBorder="1" applyAlignment="1" applyProtection="1">
      <alignment horizontal="center" vertical="center" wrapText="1"/>
      <protection locked="0"/>
    </xf>
    <xf numFmtId="0" fontId="46" fillId="0" borderId="78" xfId="0" applyFont="1" applyBorder="1" applyAlignment="1" applyProtection="1">
      <alignment horizontal="center" vertical="center" wrapText="1"/>
      <protection locked="0"/>
    </xf>
    <xf numFmtId="0" fontId="32" fillId="0" borderId="56" xfId="0" applyFont="1" applyBorder="1" applyAlignment="1" applyProtection="1">
      <alignment horizontal="center" vertical="center" wrapText="1"/>
      <protection locked="0"/>
    </xf>
    <xf numFmtId="0" fontId="32" fillId="0" borderId="74" xfId="0" applyFont="1" applyBorder="1" applyAlignment="1" applyProtection="1">
      <alignment horizontal="center" vertical="center" wrapText="1"/>
      <protection locked="0"/>
    </xf>
    <xf numFmtId="0" fontId="41" fillId="0" borderId="57" xfId="0" applyFont="1" applyBorder="1" applyAlignment="1" applyProtection="1">
      <alignment horizontal="center" vertical="center" wrapText="1"/>
      <protection locked="0"/>
    </xf>
    <xf numFmtId="0" fontId="41" fillId="0" borderId="78" xfId="0" applyFont="1" applyBorder="1" applyAlignment="1" applyProtection="1">
      <alignment horizontal="center" vertical="center" wrapText="1"/>
      <protection locked="0"/>
    </xf>
    <xf numFmtId="0" fontId="40" fillId="22" borderId="57" xfId="0" applyFont="1" applyFill="1" applyBorder="1" applyAlignment="1" applyProtection="1">
      <alignment horizontal="center" vertical="center" wrapText="1"/>
      <protection locked="0"/>
    </xf>
    <xf numFmtId="0" fontId="40" fillId="22" borderId="78" xfId="0" applyFont="1" applyFill="1" applyBorder="1" applyAlignment="1" applyProtection="1">
      <alignment horizontal="center" vertical="center" wrapText="1"/>
      <protection locked="0"/>
    </xf>
    <xf numFmtId="0" fontId="40" fillId="0" borderId="79" xfId="0" applyFont="1" applyBorder="1" applyAlignment="1" applyProtection="1">
      <alignment horizontal="center" vertical="center" wrapText="1"/>
      <protection locked="0"/>
    </xf>
    <xf numFmtId="0" fontId="40" fillId="0" borderId="80" xfId="0" applyFont="1" applyBorder="1" applyAlignment="1" applyProtection="1">
      <alignment horizontal="center" vertical="center" wrapText="1"/>
      <protection locked="0"/>
    </xf>
    <xf numFmtId="0" fontId="40" fillId="16" borderId="57" xfId="0" applyFont="1" applyFill="1" applyBorder="1" applyAlignment="1" applyProtection="1">
      <alignment horizontal="center" vertical="center" wrapText="1"/>
      <protection locked="0"/>
    </xf>
    <xf numFmtId="0" fontId="40" fillId="16" borderId="78" xfId="0" applyFont="1" applyFill="1" applyBorder="1" applyAlignment="1" applyProtection="1">
      <alignment horizontal="center" vertical="center" wrapText="1"/>
      <protection locked="0"/>
    </xf>
    <xf numFmtId="0" fontId="30" fillId="0" borderId="57" xfId="0" applyFont="1" applyBorder="1" applyAlignment="1" applyProtection="1">
      <alignment vertical="center" wrapText="1"/>
      <protection locked="0"/>
    </xf>
    <xf numFmtId="0" fontId="30" fillId="0" borderId="78" xfId="0" applyFont="1" applyBorder="1" applyAlignment="1" applyProtection="1">
      <alignment vertical="center" wrapText="1"/>
      <protection locked="0"/>
    </xf>
    <xf numFmtId="0" fontId="35" fillId="0" borderId="56" xfId="0" applyFont="1" applyBorder="1" applyAlignment="1" applyProtection="1">
      <alignment horizontal="center" vertical="center" wrapText="1"/>
      <protection locked="0"/>
    </xf>
    <xf numFmtId="0" fontId="35" fillId="0" borderId="74" xfId="0" applyFont="1" applyBorder="1" applyAlignment="1" applyProtection="1">
      <alignment horizontal="center" vertical="center" wrapText="1"/>
      <protection locked="0"/>
    </xf>
    <xf numFmtId="0" fontId="35" fillId="0" borderId="57" xfId="0" applyFont="1" applyBorder="1" applyAlignment="1" applyProtection="1">
      <alignment vertical="center" wrapText="1"/>
      <protection locked="0"/>
    </xf>
    <xf numFmtId="0" fontId="35" fillId="0" borderId="78" xfId="0" applyFont="1" applyBorder="1" applyAlignment="1" applyProtection="1">
      <alignment vertical="center" wrapText="1"/>
      <protection locked="0"/>
    </xf>
    <xf numFmtId="0" fontId="32" fillId="0" borderId="57" xfId="0" applyFont="1" applyBorder="1" applyAlignment="1" applyProtection="1">
      <alignment vertical="center" wrapText="1"/>
      <protection locked="0"/>
    </xf>
    <xf numFmtId="0" fontId="32" fillId="0" borderId="78" xfId="0" applyFont="1" applyBorder="1" applyAlignment="1" applyProtection="1">
      <alignment vertical="center" wrapText="1"/>
      <protection locked="0"/>
    </xf>
    <xf numFmtId="0" fontId="37" fillId="0" borderId="57" xfId="0" applyFont="1" applyBorder="1" applyAlignment="1" applyProtection="1">
      <alignment vertical="center" wrapText="1"/>
      <protection locked="0"/>
    </xf>
    <xf numFmtId="0" fontId="37" fillId="0" borderId="78" xfId="0" applyFont="1" applyBorder="1" applyAlignment="1" applyProtection="1">
      <alignment vertical="center" wrapText="1"/>
      <protection locked="0"/>
    </xf>
    <xf numFmtId="0" fontId="37" fillId="0" borderId="56" xfId="0" applyFont="1" applyBorder="1" applyAlignment="1" applyProtection="1">
      <alignment horizontal="center" vertical="center" wrapText="1"/>
      <protection locked="0"/>
    </xf>
    <xf numFmtId="0" fontId="37" fillId="0" borderId="74" xfId="0" applyFont="1" applyBorder="1" applyAlignment="1" applyProtection="1">
      <alignment horizontal="center" vertical="center" wrapText="1"/>
      <protection locked="0"/>
    </xf>
    <xf numFmtId="0" fontId="30" fillId="21" borderId="56" xfId="0" applyFont="1" applyFill="1" applyBorder="1" applyAlignment="1" applyProtection="1">
      <alignment horizontal="center" vertical="center" wrapText="1"/>
      <protection locked="0"/>
    </xf>
    <xf numFmtId="0" fontId="30" fillId="21" borderId="74" xfId="0" applyFont="1" applyFill="1" applyBorder="1" applyAlignment="1" applyProtection="1">
      <alignment horizontal="center" vertical="center" wrapText="1"/>
      <protection locked="0"/>
    </xf>
    <xf numFmtId="0" fontId="23" fillId="2" borderId="57" xfId="0" applyFont="1" applyFill="1" applyBorder="1" applyAlignment="1" applyProtection="1">
      <alignment horizontal="center" vertical="center" wrapText="1"/>
      <protection locked="0"/>
    </xf>
    <xf numFmtId="0" fontId="23" fillId="2" borderId="78" xfId="0" applyFont="1" applyFill="1" applyBorder="1" applyAlignment="1" applyProtection="1">
      <alignment horizontal="center" vertical="center" wrapText="1"/>
      <protection locked="0"/>
    </xf>
    <xf numFmtId="0" fontId="39" fillId="0" borderId="57" xfId="0" applyFont="1" applyBorder="1" applyAlignment="1" applyProtection="1">
      <alignment vertical="center" wrapText="1"/>
      <protection locked="0"/>
    </xf>
    <xf numFmtId="0" fontId="39" fillId="0" borderId="78" xfId="0" applyFont="1" applyBorder="1" applyAlignment="1" applyProtection="1">
      <alignment vertical="center" wrapText="1"/>
      <protection locked="0"/>
    </xf>
    <xf numFmtId="0" fontId="32" fillId="21" borderId="57" xfId="0" applyFont="1" applyFill="1" applyBorder="1" applyAlignment="1" applyProtection="1">
      <alignment vertical="center" wrapText="1"/>
      <protection locked="0"/>
    </xf>
    <xf numFmtId="0" fontId="32" fillId="21" borderId="78" xfId="0" applyFont="1" applyFill="1" applyBorder="1" applyAlignment="1" applyProtection="1">
      <alignment vertical="center" wrapText="1"/>
      <protection locked="0"/>
    </xf>
    <xf numFmtId="0" fontId="25" fillId="20" borderId="21" xfId="0" applyFont="1" applyFill="1" applyBorder="1" applyAlignment="1">
      <alignment horizontal="center" wrapText="1"/>
    </xf>
    <xf numFmtId="0" fontId="25" fillId="20" borderId="22" xfId="0" applyFont="1" applyFill="1" applyBorder="1" applyAlignment="1">
      <alignment horizontal="center" wrapText="1"/>
    </xf>
    <xf numFmtId="0" fontId="21" fillId="20" borderId="18" xfId="0" applyFont="1" applyFill="1" applyBorder="1" applyAlignment="1">
      <alignment horizontal="center" wrapText="1"/>
    </xf>
    <xf numFmtId="0" fontId="21" fillId="20" borderId="19" xfId="0" applyFont="1" applyFill="1" applyBorder="1" applyAlignment="1">
      <alignment horizontal="center" wrapText="1"/>
    </xf>
    <xf numFmtId="0" fontId="25" fillId="20" borderId="18" xfId="0" applyFont="1" applyFill="1" applyBorder="1" applyAlignment="1">
      <alignment horizontal="center" wrapText="1"/>
    </xf>
    <xf numFmtId="0" fontId="25" fillId="20" borderId="19" xfId="0" applyFont="1" applyFill="1" applyBorder="1" applyAlignment="1">
      <alignment horizontal="center" wrapText="1"/>
    </xf>
    <xf numFmtId="0" fontId="6" fillId="0" borderId="5" xfId="0" applyFont="1" applyBorder="1"/>
    <xf numFmtId="0" fontId="6" fillId="0" borderId="8" xfId="0" applyFont="1" applyBorder="1"/>
    <xf numFmtId="0" fontId="6" fillId="0" borderId="4" xfId="0" applyFont="1" applyBorder="1"/>
    <xf numFmtId="0" fontId="5" fillId="0" borderId="5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3" fillId="4" borderId="5" xfId="0" applyFont="1" applyFill="1" applyBorder="1" applyAlignment="1">
      <alignment horizontal="left" vertical="center"/>
    </xf>
    <xf numFmtId="0" fontId="3" fillId="4" borderId="8" xfId="0" applyFont="1" applyFill="1" applyBorder="1" applyAlignment="1">
      <alignment horizontal="left" vertical="center"/>
    </xf>
    <xf numFmtId="0" fontId="3" fillId="4" borderId="4" xfId="0" applyFont="1" applyFill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8" fontId="5" fillId="0" borderId="5" xfId="0" applyNumberFormat="1" applyFont="1" applyBorder="1" applyAlignment="1">
      <alignment horizontal="center" vertical="center"/>
    </xf>
    <xf numFmtId="8" fontId="5" fillId="0" borderId="8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8" fontId="5" fillId="0" borderId="4" xfId="0" applyNumberFormat="1" applyFont="1" applyBorder="1" applyAlignment="1">
      <alignment horizontal="center" vertical="center"/>
    </xf>
    <xf numFmtId="8" fontId="3" fillId="4" borderId="5" xfId="0" applyNumberFormat="1" applyFont="1" applyFill="1" applyBorder="1" applyAlignment="1">
      <alignment horizontal="left" vertical="center"/>
    </xf>
    <xf numFmtId="8" fontId="3" fillId="4" borderId="4" xfId="0" applyNumberFormat="1" applyFont="1" applyFill="1" applyBorder="1" applyAlignment="1">
      <alignment horizontal="left" vertical="center"/>
    </xf>
    <xf numFmtId="8" fontId="3" fillId="0" borderId="5" xfId="0" applyNumberFormat="1" applyFont="1" applyBorder="1" applyAlignment="1">
      <alignment horizontal="center" vertical="center"/>
    </xf>
    <xf numFmtId="8" fontId="3" fillId="0" borderId="8" xfId="0" applyNumberFormat="1" applyFont="1" applyBorder="1" applyAlignment="1">
      <alignment horizontal="center" vertical="center"/>
    </xf>
    <xf numFmtId="8" fontId="3" fillId="0" borderId="4" xfId="0" applyNumberFormat="1" applyFont="1" applyBorder="1" applyAlignment="1">
      <alignment horizontal="center" vertical="center"/>
    </xf>
    <xf numFmtId="8" fontId="3" fillId="3" borderId="3" xfId="0" applyNumberFormat="1" applyFont="1" applyFill="1" applyBorder="1" applyAlignment="1">
      <alignment horizontal="left" vertical="center"/>
    </xf>
    <xf numFmtId="8" fontId="3" fillId="0" borderId="3" xfId="0" applyNumberFormat="1" applyFont="1" applyBorder="1" applyAlignment="1">
      <alignment horizontal="center" vertical="center"/>
    </xf>
    <xf numFmtId="8" fontId="3" fillId="6" borderId="3" xfId="0" applyNumberFormat="1" applyFont="1" applyFill="1" applyBorder="1" applyAlignment="1">
      <alignment horizontal="left" vertical="center"/>
    </xf>
    <xf numFmtId="8" fontId="3" fillId="0" borderId="16" xfId="0" applyNumberFormat="1" applyFont="1" applyBorder="1" applyAlignment="1">
      <alignment horizontal="left" vertical="center"/>
    </xf>
    <xf numFmtId="8" fontId="3" fillId="0" borderId="10" xfId="0" applyNumberFormat="1" applyFont="1" applyBorder="1" applyAlignment="1">
      <alignment horizontal="left" vertical="center"/>
    </xf>
    <xf numFmtId="8" fontId="3" fillId="0" borderId="15" xfId="0" applyNumberFormat="1" applyFont="1" applyBorder="1" applyAlignment="1">
      <alignment horizontal="left" vertical="center"/>
    </xf>
    <xf numFmtId="0" fontId="4" fillId="0" borderId="5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8" fontId="3" fillId="4" borderId="8" xfId="0" applyNumberFormat="1" applyFont="1" applyFill="1" applyBorder="1" applyAlignment="1">
      <alignment horizontal="left" vertical="center"/>
    </xf>
    <xf numFmtId="8" fontId="3" fillId="0" borderId="5" xfId="0" applyNumberFormat="1" applyFont="1" applyBorder="1" applyAlignment="1">
      <alignment horizontal="left" vertical="center"/>
    </xf>
    <xf numFmtId="8" fontId="3" fillId="0" borderId="8" xfId="0" applyNumberFormat="1" applyFont="1" applyBorder="1" applyAlignment="1">
      <alignment horizontal="left" vertical="center"/>
    </xf>
    <xf numFmtId="8" fontId="3" fillId="0" borderId="4" xfId="0" applyNumberFormat="1" applyFont="1" applyBorder="1" applyAlignment="1">
      <alignment horizontal="left" vertical="center"/>
    </xf>
    <xf numFmtId="8" fontId="3" fillId="4" borderId="5" xfId="0" applyNumberFormat="1" applyFont="1" applyFill="1" applyBorder="1" applyAlignment="1">
      <alignment horizontal="center" vertical="center"/>
    </xf>
    <xf numFmtId="8" fontId="3" fillId="4" borderId="14" xfId="0" applyNumberFormat="1" applyFont="1" applyFill="1" applyBorder="1" applyAlignment="1">
      <alignment horizontal="center" vertical="center"/>
    </xf>
    <xf numFmtId="8" fontId="3" fillId="6" borderId="5" xfId="0" applyNumberFormat="1" applyFont="1" applyFill="1" applyBorder="1" applyAlignment="1">
      <alignment horizontal="left" vertical="center"/>
    </xf>
    <xf numFmtId="8" fontId="3" fillId="6" borderId="8" xfId="0" applyNumberFormat="1" applyFont="1" applyFill="1" applyBorder="1" applyAlignment="1">
      <alignment horizontal="left" vertical="center"/>
    </xf>
    <xf numFmtId="8" fontId="3" fillId="6" borderId="4" xfId="0" applyNumberFormat="1" applyFont="1" applyFill="1" applyBorder="1" applyAlignment="1">
      <alignment horizontal="left" vertical="center"/>
    </xf>
    <xf numFmtId="8" fontId="3" fillId="4" borderId="4" xfId="0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8" fontId="5" fillId="2" borderId="13" xfId="0" applyNumberFormat="1" applyFont="1" applyFill="1" applyBorder="1" applyAlignment="1">
      <alignment horizontal="center" vertical="center" wrapText="1"/>
    </xf>
    <xf numFmtId="8" fontId="5" fillId="2" borderId="46" xfId="0" applyNumberFormat="1" applyFont="1" applyFill="1" applyBorder="1" applyAlignment="1">
      <alignment horizontal="center" vertical="center" wrapText="1"/>
    </xf>
    <xf numFmtId="8" fontId="5" fillId="2" borderId="16" xfId="0" applyNumberFormat="1" applyFont="1" applyFill="1" applyBorder="1" applyAlignment="1">
      <alignment horizontal="center" vertical="center" wrapText="1"/>
    </xf>
    <xf numFmtId="8" fontId="3" fillId="8" borderId="5" xfId="0" applyNumberFormat="1" applyFont="1" applyFill="1" applyBorder="1" applyAlignment="1">
      <alignment horizontal="center" vertical="center"/>
    </xf>
    <xf numFmtId="8" fontId="3" fillId="8" borderId="4" xfId="0" applyNumberFormat="1" applyFont="1" applyFill="1" applyBorder="1" applyAlignment="1">
      <alignment horizontal="center" vertical="center"/>
    </xf>
    <xf numFmtId="8" fontId="3" fillId="2" borderId="8" xfId="0" applyNumberFormat="1" applyFont="1" applyFill="1" applyBorder="1" applyAlignment="1">
      <alignment horizontal="center" vertical="center"/>
    </xf>
    <xf numFmtId="8" fontId="3" fillId="2" borderId="4" xfId="0" applyNumberFormat="1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8" borderId="5" xfId="0" applyFont="1" applyFill="1" applyBorder="1" applyAlignment="1">
      <alignment horizontal="center" vertical="center" wrapText="1"/>
    </xf>
    <xf numFmtId="0" fontId="5" fillId="8" borderId="4" xfId="0" applyFont="1" applyFill="1" applyBorder="1" applyAlignment="1">
      <alignment horizontal="center" vertical="center" wrapText="1"/>
    </xf>
    <xf numFmtId="0" fontId="4" fillId="13" borderId="3" xfId="0" applyFont="1" applyFill="1" applyBorder="1" applyAlignment="1">
      <alignment horizontal="center" vertical="center"/>
    </xf>
    <xf numFmtId="8" fontId="15" fillId="6" borderId="5" xfId="0" applyNumberFormat="1" applyFont="1" applyFill="1" applyBorder="1" applyAlignment="1">
      <alignment horizontal="left" vertical="center"/>
    </xf>
    <xf numFmtId="8" fontId="15" fillId="6" borderId="8" xfId="0" applyNumberFormat="1" applyFont="1" applyFill="1" applyBorder="1" applyAlignment="1">
      <alignment horizontal="left" vertical="center"/>
    </xf>
    <xf numFmtId="8" fontId="15" fillId="6" borderId="4" xfId="0" applyNumberFormat="1" applyFont="1" applyFill="1" applyBorder="1" applyAlignment="1">
      <alignment horizontal="left" vertical="center"/>
    </xf>
    <xf numFmtId="0" fontId="3" fillId="4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4" fillId="12" borderId="5" xfId="0" applyFont="1" applyFill="1" applyBorder="1" applyAlignment="1" applyProtection="1">
      <alignment horizontal="center" vertical="center"/>
      <protection locked="0"/>
    </xf>
    <xf numFmtId="0" fontId="4" fillId="12" borderId="4" xfId="0" applyFont="1" applyFill="1" applyBorder="1" applyAlignment="1" applyProtection="1">
      <alignment horizontal="center" vertical="center"/>
      <protection locked="0"/>
    </xf>
    <xf numFmtId="0" fontId="5" fillId="0" borderId="3" xfId="0" applyFont="1" applyBorder="1" applyAlignment="1">
      <alignment vertical="center"/>
    </xf>
    <xf numFmtId="2" fontId="4" fillId="0" borderId="5" xfId="1" applyNumberFormat="1" applyFont="1" applyBorder="1" applyAlignment="1" applyProtection="1">
      <alignment horizontal="center" vertical="center"/>
    </xf>
    <xf numFmtId="2" fontId="4" fillId="0" borderId="4" xfId="1" applyNumberFormat="1" applyFont="1" applyBorder="1" applyAlignment="1" applyProtection="1">
      <alignment horizontal="center" vertical="center"/>
    </xf>
    <xf numFmtId="1" fontId="3" fillId="0" borderId="5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5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3" fillId="17" borderId="51" xfId="0" applyFont="1" applyFill="1" applyBorder="1" applyAlignment="1">
      <alignment horizontal="center" vertical="center" wrapText="1"/>
    </xf>
    <xf numFmtId="0" fontId="3" fillId="17" borderId="52" xfId="0" applyFont="1" applyFill="1" applyBorder="1" applyAlignment="1">
      <alignment horizontal="center" vertical="center" wrapText="1"/>
    </xf>
    <xf numFmtId="0" fontId="3" fillId="17" borderId="53" xfId="0" applyFont="1" applyFill="1" applyBorder="1" applyAlignment="1">
      <alignment horizontal="center" vertical="center" wrapText="1"/>
    </xf>
    <xf numFmtId="0" fontId="4" fillId="12" borderId="5" xfId="0" applyFont="1" applyFill="1" applyBorder="1" applyAlignment="1" applyProtection="1">
      <alignment horizontal="left" vertical="justify"/>
      <protection locked="0"/>
    </xf>
    <xf numFmtId="0" fontId="4" fillId="12" borderId="4" xfId="0" applyFont="1" applyFill="1" applyBorder="1" applyAlignment="1" applyProtection="1">
      <alignment horizontal="left" vertical="justify"/>
      <protection locked="0"/>
    </xf>
    <xf numFmtId="14" fontId="8" fillId="12" borderId="5" xfId="0" applyNumberFormat="1" applyFont="1" applyFill="1" applyBorder="1" applyAlignment="1" applyProtection="1">
      <alignment horizontal="center" vertical="center"/>
      <protection locked="0"/>
    </xf>
    <xf numFmtId="0" fontId="8" fillId="12" borderId="4" xfId="0" applyFont="1" applyFill="1" applyBorder="1" applyAlignment="1" applyProtection="1">
      <alignment horizontal="center" vertical="center"/>
      <protection locked="0"/>
    </xf>
    <xf numFmtId="0" fontId="5" fillId="12" borderId="13" xfId="0" applyFont="1" applyFill="1" applyBorder="1" applyAlignment="1" applyProtection="1">
      <alignment horizontal="center" vertical="center" wrapText="1"/>
      <protection locked="0"/>
    </xf>
    <xf numFmtId="0" fontId="5" fillId="12" borderId="14" xfId="0" applyFont="1" applyFill="1" applyBorder="1" applyAlignment="1" applyProtection="1">
      <alignment horizontal="center" vertical="center" wrapText="1"/>
      <protection locked="0"/>
    </xf>
    <xf numFmtId="0" fontId="5" fillId="0" borderId="8" xfId="0" applyFont="1" applyBorder="1" applyAlignment="1">
      <alignment horizontal="center" vertical="center"/>
    </xf>
    <xf numFmtId="0" fontId="3" fillId="6" borderId="3" xfId="0" applyFont="1" applyFill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4" fillId="2" borderId="5" xfId="0" applyFont="1" applyFill="1" applyBorder="1" applyAlignment="1" applyProtection="1">
      <alignment horizontal="left" vertical="justify"/>
      <protection locked="0"/>
    </xf>
    <xf numFmtId="0" fontId="4" fillId="2" borderId="4" xfId="0" applyFont="1" applyFill="1" applyBorder="1" applyAlignment="1" applyProtection="1">
      <alignment horizontal="left" vertical="justify"/>
      <protection locked="0"/>
    </xf>
    <xf numFmtId="0" fontId="3" fillId="0" borderId="3" xfId="0" applyFont="1" applyBorder="1" applyAlignment="1">
      <alignment vertical="center"/>
    </xf>
    <xf numFmtId="2" fontId="4" fillId="0" borderId="5" xfId="0" applyNumberFormat="1" applyFont="1" applyBorder="1" applyAlignment="1">
      <alignment horizontal="center" vertical="center"/>
    </xf>
    <xf numFmtId="2" fontId="4" fillId="0" borderId="4" xfId="0" applyNumberFormat="1" applyFont="1" applyBorder="1" applyAlignment="1">
      <alignment horizontal="center" vertical="center"/>
    </xf>
    <xf numFmtId="1" fontId="4" fillId="0" borderId="5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5" fillId="12" borderId="5" xfId="0" applyFont="1" applyFill="1" applyBorder="1" applyAlignment="1" applyProtection="1">
      <alignment horizontal="center" vertical="center" wrapText="1"/>
      <protection locked="0"/>
    </xf>
    <xf numFmtId="0" fontId="5" fillId="12" borderId="4" xfId="0" applyFont="1" applyFill="1" applyBorder="1" applyAlignment="1" applyProtection="1">
      <alignment horizontal="center" vertical="center" wrapText="1"/>
      <protection locked="0"/>
    </xf>
  </cellXfs>
  <cellStyles count="9">
    <cellStyle name="Moeda" xfId="2" builtinId="4"/>
    <cellStyle name="Moeda 2" xfId="6" xr:uid="{00000000-0005-0000-0000-000001000000}"/>
    <cellStyle name="Moeda 3" xfId="8" xr:uid="{00000000-0005-0000-0000-000032000000}"/>
    <cellStyle name="Normal" xfId="0" builtinId="0"/>
    <cellStyle name="Normal 2" xfId="4" xr:uid="{00000000-0005-0000-0000-000003000000}"/>
    <cellStyle name="Normal 2 2" xfId="5" xr:uid="{00000000-0005-0000-0000-000004000000}"/>
    <cellStyle name="Porcentagem" xfId="3" builtinId="5"/>
    <cellStyle name="Vírgula" xfId="1" builtinId="3"/>
    <cellStyle name="Vírgula 2" xfId="7" xr:uid="{00000000-0005-0000-0000-000033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6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ilha1"/>
  <dimension ref="B2:F18"/>
  <sheetViews>
    <sheetView workbookViewId="0">
      <selection activeCell="H8" sqref="H8"/>
    </sheetView>
  </sheetViews>
  <sheetFormatPr defaultRowHeight="14.5" x14ac:dyDescent="0.35"/>
  <cols>
    <col min="2" max="2" width="34.54296875" bestFit="1" customWidth="1"/>
    <col min="3" max="3" width="11.7265625" style="11" bestFit="1" customWidth="1"/>
    <col min="4" max="4" width="11.7265625" style="11" customWidth="1"/>
    <col min="5" max="5" width="14" bestFit="1" customWidth="1"/>
    <col min="6" max="6" width="15" bestFit="1" customWidth="1"/>
  </cols>
  <sheetData>
    <row r="2" spans="2:6" x14ac:dyDescent="0.35">
      <c r="B2" s="9" t="s">
        <v>130</v>
      </c>
      <c r="C2" s="12" t="s">
        <v>131</v>
      </c>
      <c r="D2" s="12" t="s">
        <v>132</v>
      </c>
      <c r="E2" s="9" t="s">
        <v>133</v>
      </c>
      <c r="F2" s="9" t="s">
        <v>134</v>
      </c>
    </row>
    <row r="3" spans="2:6" x14ac:dyDescent="0.35">
      <c r="B3" s="6" t="s">
        <v>94</v>
      </c>
      <c r="C3" s="13" t="e">
        <f>#REF!</f>
        <v>#REF!</v>
      </c>
      <c r="D3" s="13" t="e">
        <f>C3/220</f>
        <v>#REF!</v>
      </c>
      <c r="E3" s="10" t="e">
        <f>D3*1.5</f>
        <v>#REF!</v>
      </c>
      <c r="F3" s="13" t="e">
        <f>D3*2</f>
        <v>#REF!</v>
      </c>
    </row>
    <row r="4" spans="2:6" x14ac:dyDescent="0.35">
      <c r="B4" s="6" t="s">
        <v>95</v>
      </c>
      <c r="C4" s="13" t="e">
        <f>#REF!</f>
        <v>#REF!</v>
      </c>
      <c r="D4" s="13" t="e">
        <f t="shared" ref="D4:D18" si="0">C4/220</f>
        <v>#REF!</v>
      </c>
      <c r="E4" s="10" t="e">
        <f t="shared" ref="E4:E18" si="1">D4*1.5</f>
        <v>#REF!</v>
      </c>
      <c r="F4" s="13" t="e">
        <f t="shared" ref="F4:F18" si="2">D4*2</f>
        <v>#REF!</v>
      </c>
    </row>
    <row r="5" spans="2:6" x14ac:dyDescent="0.35">
      <c r="B5" s="6" t="s">
        <v>96</v>
      </c>
      <c r="C5" s="13" t="e">
        <f>#REF!</f>
        <v>#REF!</v>
      </c>
      <c r="D5" s="13" t="e">
        <f t="shared" si="0"/>
        <v>#REF!</v>
      </c>
      <c r="E5" s="10" t="e">
        <f t="shared" si="1"/>
        <v>#REF!</v>
      </c>
      <c r="F5" s="13" t="e">
        <f t="shared" si="2"/>
        <v>#REF!</v>
      </c>
    </row>
    <row r="6" spans="2:6" x14ac:dyDescent="0.35">
      <c r="B6" s="6" t="s">
        <v>99</v>
      </c>
      <c r="C6" s="13" t="e">
        <f>#REF!</f>
        <v>#REF!</v>
      </c>
      <c r="D6" s="13" t="e">
        <f t="shared" si="0"/>
        <v>#REF!</v>
      </c>
      <c r="E6" s="10" t="e">
        <f t="shared" si="1"/>
        <v>#REF!</v>
      </c>
      <c r="F6" s="13" t="e">
        <f t="shared" si="2"/>
        <v>#REF!</v>
      </c>
    </row>
    <row r="7" spans="2:6" x14ac:dyDescent="0.35">
      <c r="B7" s="6" t="s">
        <v>97</v>
      </c>
      <c r="C7" s="13" t="e">
        <f>#REF!</f>
        <v>#REF!</v>
      </c>
      <c r="D7" s="13" t="e">
        <f t="shared" si="0"/>
        <v>#REF!</v>
      </c>
      <c r="E7" s="10" t="e">
        <f t="shared" si="1"/>
        <v>#REF!</v>
      </c>
      <c r="F7" s="13" t="e">
        <f t="shared" si="2"/>
        <v>#REF!</v>
      </c>
    </row>
    <row r="8" spans="2:6" x14ac:dyDescent="0.35">
      <c r="B8" s="6" t="s">
        <v>98</v>
      </c>
      <c r="C8" s="13" t="e">
        <f>#REF!</f>
        <v>#REF!</v>
      </c>
      <c r="D8" s="13" t="e">
        <f t="shared" si="0"/>
        <v>#REF!</v>
      </c>
      <c r="E8" s="10" t="e">
        <f t="shared" si="1"/>
        <v>#REF!</v>
      </c>
      <c r="F8" s="13" t="e">
        <f t="shared" si="2"/>
        <v>#REF!</v>
      </c>
    </row>
    <row r="9" spans="2:6" x14ac:dyDescent="0.35">
      <c r="B9" s="6" t="s">
        <v>100</v>
      </c>
      <c r="C9" s="13" t="e">
        <f>#REF!</f>
        <v>#REF!</v>
      </c>
      <c r="D9" s="13" t="e">
        <f t="shared" si="0"/>
        <v>#REF!</v>
      </c>
      <c r="E9" s="10" t="e">
        <f t="shared" si="1"/>
        <v>#REF!</v>
      </c>
      <c r="F9" s="13" t="e">
        <f t="shared" si="2"/>
        <v>#REF!</v>
      </c>
    </row>
    <row r="10" spans="2:6" x14ac:dyDescent="0.35">
      <c r="B10" s="6" t="s">
        <v>101</v>
      </c>
      <c r="C10" s="13" t="e">
        <f>#REF!</f>
        <v>#REF!</v>
      </c>
      <c r="D10" s="13" t="e">
        <f t="shared" si="0"/>
        <v>#REF!</v>
      </c>
      <c r="E10" s="10" t="e">
        <f t="shared" si="1"/>
        <v>#REF!</v>
      </c>
      <c r="F10" s="13" t="e">
        <f t="shared" si="2"/>
        <v>#REF!</v>
      </c>
    </row>
    <row r="11" spans="2:6" x14ac:dyDescent="0.35">
      <c r="B11" s="6" t="s">
        <v>102</v>
      </c>
      <c r="C11" s="13" t="e">
        <f>#REF!</f>
        <v>#REF!</v>
      </c>
      <c r="D11" s="13" t="e">
        <f t="shared" si="0"/>
        <v>#REF!</v>
      </c>
      <c r="E11" s="10" t="e">
        <f t="shared" si="1"/>
        <v>#REF!</v>
      </c>
      <c r="F11" s="13" t="e">
        <f t="shared" si="2"/>
        <v>#REF!</v>
      </c>
    </row>
    <row r="12" spans="2:6" x14ac:dyDescent="0.35">
      <c r="B12" s="6" t="s">
        <v>103</v>
      </c>
      <c r="C12" s="13" t="e">
        <f>#REF!</f>
        <v>#REF!</v>
      </c>
      <c r="D12" s="13" t="e">
        <f t="shared" si="0"/>
        <v>#REF!</v>
      </c>
      <c r="E12" s="10" t="e">
        <f t="shared" si="1"/>
        <v>#REF!</v>
      </c>
      <c r="F12" s="13" t="e">
        <f t="shared" si="2"/>
        <v>#REF!</v>
      </c>
    </row>
    <row r="13" spans="2:6" x14ac:dyDescent="0.35">
      <c r="B13" s="6" t="s">
        <v>104</v>
      </c>
      <c r="C13" s="13" t="e">
        <f>#REF!</f>
        <v>#REF!</v>
      </c>
      <c r="D13" s="13" t="e">
        <f t="shared" si="0"/>
        <v>#REF!</v>
      </c>
      <c r="E13" s="10" t="e">
        <f t="shared" si="1"/>
        <v>#REF!</v>
      </c>
      <c r="F13" s="13" t="e">
        <f t="shared" si="2"/>
        <v>#REF!</v>
      </c>
    </row>
    <row r="14" spans="2:6" x14ac:dyDescent="0.35">
      <c r="B14" s="6" t="s">
        <v>105</v>
      </c>
      <c r="C14" s="13" t="e">
        <f>#REF!</f>
        <v>#REF!</v>
      </c>
      <c r="D14" s="13" t="e">
        <f t="shared" si="0"/>
        <v>#REF!</v>
      </c>
      <c r="E14" s="10" t="e">
        <f t="shared" si="1"/>
        <v>#REF!</v>
      </c>
      <c r="F14" s="13" t="e">
        <f t="shared" si="2"/>
        <v>#REF!</v>
      </c>
    </row>
    <row r="15" spans="2:6" x14ac:dyDescent="0.35">
      <c r="B15" s="6" t="s">
        <v>106</v>
      </c>
      <c r="C15" s="13" t="e">
        <f>#REF!</f>
        <v>#REF!</v>
      </c>
      <c r="D15" s="13" t="e">
        <f t="shared" si="0"/>
        <v>#REF!</v>
      </c>
      <c r="E15" s="10" t="e">
        <f t="shared" si="1"/>
        <v>#REF!</v>
      </c>
      <c r="F15" s="13" t="e">
        <f t="shared" si="2"/>
        <v>#REF!</v>
      </c>
    </row>
    <row r="16" spans="2:6" x14ac:dyDescent="0.35">
      <c r="B16" s="6" t="s">
        <v>107</v>
      </c>
      <c r="C16" s="13" t="e">
        <f>#REF!</f>
        <v>#REF!</v>
      </c>
      <c r="D16" s="13" t="e">
        <f t="shared" si="0"/>
        <v>#REF!</v>
      </c>
      <c r="E16" s="10" t="e">
        <f t="shared" si="1"/>
        <v>#REF!</v>
      </c>
      <c r="F16" s="13" t="e">
        <f t="shared" si="2"/>
        <v>#REF!</v>
      </c>
    </row>
    <row r="17" spans="2:6" x14ac:dyDescent="0.35">
      <c r="B17" s="6" t="s">
        <v>108</v>
      </c>
      <c r="C17" s="13" t="e">
        <f>#REF!</f>
        <v>#REF!</v>
      </c>
      <c r="D17" s="13" t="e">
        <f t="shared" si="0"/>
        <v>#REF!</v>
      </c>
      <c r="E17" s="10" t="e">
        <f t="shared" si="1"/>
        <v>#REF!</v>
      </c>
      <c r="F17" s="13" t="e">
        <f t="shared" si="2"/>
        <v>#REF!</v>
      </c>
    </row>
    <row r="18" spans="2:6" x14ac:dyDescent="0.35">
      <c r="B18" s="6" t="s">
        <v>109</v>
      </c>
      <c r="C18" s="13" t="e">
        <f>#REF!</f>
        <v>#REF!</v>
      </c>
      <c r="D18" s="13" t="e">
        <f t="shared" si="0"/>
        <v>#REF!</v>
      </c>
      <c r="E18" s="10" t="e">
        <f t="shared" si="1"/>
        <v>#REF!</v>
      </c>
      <c r="F18" s="13" t="e">
        <f t="shared" si="2"/>
        <v>#REF!</v>
      </c>
    </row>
  </sheetData>
  <pageMargins left="0.511811024" right="0.511811024" top="0.78740157499999996" bottom="0.78740157499999996" header="0.31496062000000002" footer="0.3149606200000000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43FAC1-8BCD-4ECE-B2FB-C5506479A339}">
  <sheetPr codeName="Planilha8">
    <pageSetUpPr fitToPage="1"/>
  </sheetPr>
  <dimension ref="A1:D214"/>
  <sheetViews>
    <sheetView view="pageBreakPreview" topLeftCell="A190" zoomScaleNormal="85" zoomScaleSheetLayoutView="100" workbookViewId="0">
      <selection activeCell="D67" sqref="D67"/>
    </sheetView>
  </sheetViews>
  <sheetFormatPr defaultColWidth="9.1796875" defaultRowHeight="15.75" customHeight="1" outlineLevelRow="3" x14ac:dyDescent="0.35"/>
  <cols>
    <col min="1" max="1" width="16.7265625" customWidth="1"/>
    <col min="2" max="2" width="76.81640625" customWidth="1"/>
    <col min="3" max="3" width="22.81640625" customWidth="1"/>
    <col min="4" max="4" width="23.54296875" customWidth="1"/>
  </cols>
  <sheetData>
    <row r="1" spans="1:4" ht="15.75" customHeight="1" x14ac:dyDescent="0.35">
      <c r="A1" s="683" t="s">
        <v>6</v>
      </c>
      <c r="B1" s="683"/>
      <c r="C1" s="683"/>
      <c r="D1" s="683"/>
    </row>
    <row r="2" spans="1:4" ht="15.75" customHeight="1" x14ac:dyDescent="0.35">
      <c r="A2" s="684" t="s">
        <v>12</v>
      </c>
      <c r="B2" s="684"/>
      <c r="C2" s="685" t="s">
        <v>519</v>
      </c>
      <c r="D2" s="686"/>
    </row>
    <row r="3" spans="1:4" ht="15.75" customHeight="1" x14ac:dyDescent="0.35">
      <c r="A3" s="684" t="s">
        <v>13</v>
      </c>
      <c r="B3" s="684"/>
      <c r="C3" s="685" t="s">
        <v>270</v>
      </c>
      <c r="D3" s="686"/>
    </row>
    <row r="4" spans="1:4" ht="15.75" customHeight="1" x14ac:dyDescent="0.35">
      <c r="A4" s="687"/>
      <c r="B4" s="687"/>
      <c r="C4" s="687"/>
      <c r="D4" s="687"/>
    </row>
    <row r="5" spans="1:4" ht="15.75" customHeight="1" x14ac:dyDescent="0.35">
      <c r="A5" s="687" t="s">
        <v>14</v>
      </c>
      <c r="B5" s="687"/>
      <c r="C5" s="687"/>
      <c r="D5" s="687"/>
    </row>
    <row r="6" spans="1:4" ht="15.75" customHeight="1" x14ac:dyDescent="0.35">
      <c r="A6" s="65" t="s">
        <v>15</v>
      </c>
      <c r="B6" s="63" t="s">
        <v>5</v>
      </c>
      <c r="C6" s="707" t="s">
        <v>144</v>
      </c>
      <c r="D6" s="708"/>
    </row>
    <row r="7" spans="1:4" ht="15.75" customHeight="1" x14ac:dyDescent="0.35">
      <c r="A7" s="65" t="s">
        <v>16</v>
      </c>
      <c r="B7" s="63" t="s">
        <v>4</v>
      </c>
      <c r="C7" s="717" t="s">
        <v>518</v>
      </c>
      <c r="D7" s="690"/>
    </row>
    <row r="8" spans="1:4" ht="15.75" customHeight="1" x14ac:dyDescent="0.35">
      <c r="A8" s="25" t="s">
        <v>17</v>
      </c>
      <c r="B8" s="26" t="s">
        <v>18</v>
      </c>
      <c r="C8" s="709" t="s">
        <v>521</v>
      </c>
      <c r="D8" s="710"/>
    </row>
    <row r="9" spans="1:4" ht="15.75" customHeight="1" x14ac:dyDescent="0.35">
      <c r="A9" s="65" t="s">
        <v>19</v>
      </c>
      <c r="B9" s="63" t="s">
        <v>20</v>
      </c>
      <c r="C9" s="700" t="s">
        <v>21</v>
      </c>
      <c r="D9" s="701"/>
    </row>
    <row r="10" spans="1:4" ht="15.75" customHeight="1" x14ac:dyDescent="0.35">
      <c r="A10" s="65" t="s">
        <v>22</v>
      </c>
      <c r="B10" s="63" t="s">
        <v>23</v>
      </c>
      <c r="C10" s="700" t="s">
        <v>145</v>
      </c>
      <c r="D10" s="701"/>
    </row>
    <row r="11" spans="1:4" ht="15.75" customHeight="1" x14ac:dyDescent="0.35">
      <c r="A11" s="65" t="s">
        <v>24</v>
      </c>
      <c r="B11" s="63" t="s">
        <v>251</v>
      </c>
      <c r="C11" s="718">
        <f>Resumo!F5+Resumo!F6</f>
        <v>22374.18</v>
      </c>
      <c r="D11" s="719"/>
    </row>
    <row r="12" spans="1:4" ht="15.75" customHeight="1" x14ac:dyDescent="0.35">
      <c r="A12" s="65" t="s">
        <v>25</v>
      </c>
      <c r="B12" s="63" t="s">
        <v>26</v>
      </c>
      <c r="C12" s="693">
        <f>Resumo!I5</f>
        <v>20</v>
      </c>
      <c r="D12" s="694"/>
    </row>
    <row r="13" spans="1:4" ht="15.75" customHeight="1" x14ac:dyDescent="0.35">
      <c r="A13" s="695"/>
      <c r="B13" s="696"/>
      <c r="C13" s="696"/>
      <c r="D13" s="696"/>
    </row>
    <row r="14" spans="1:4" ht="15.75" customHeight="1" x14ac:dyDescent="0.35">
      <c r="A14" s="697" t="s">
        <v>27</v>
      </c>
      <c r="B14" s="698"/>
      <c r="C14" s="698"/>
      <c r="D14" s="699"/>
    </row>
    <row r="15" spans="1:4" ht="15.75" customHeight="1" x14ac:dyDescent="0.35">
      <c r="A15" s="690" t="s">
        <v>28</v>
      </c>
      <c r="B15" s="690"/>
      <c r="C15" s="690"/>
      <c r="D15" s="690"/>
    </row>
    <row r="16" spans="1:4" ht="15.75" customHeight="1" x14ac:dyDescent="0.35">
      <c r="A16" s="65">
        <v>1</v>
      </c>
      <c r="B16" s="63" t="s">
        <v>29</v>
      </c>
      <c r="C16" s="700" t="s">
        <v>260</v>
      </c>
      <c r="D16" s="701" t="s">
        <v>0</v>
      </c>
    </row>
    <row r="17" spans="1:4" ht="15.75" customHeight="1" x14ac:dyDescent="0.35">
      <c r="A17" s="65">
        <v>2</v>
      </c>
      <c r="B17" s="27" t="s">
        <v>30</v>
      </c>
      <c r="C17" s="688" t="s">
        <v>259</v>
      </c>
      <c r="D17" s="689"/>
    </row>
    <row r="18" spans="1:4" ht="15.75" customHeight="1" x14ac:dyDescent="0.35">
      <c r="A18" s="690" t="s">
        <v>31</v>
      </c>
      <c r="B18" s="690"/>
      <c r="C18" s="690"/>
      <c r="D18" s="690"/>
    </row>
    <row r="19" spans="1:4" ht="15.75" customHeight="1" x14ac:dyDescent="0.4">
      <c r="A19" s="65">
        <v>3</v>
      </c>
      <c r="B19" s="632" t="s">
        <v>3</v>
      </c>
      <c r="C19" s="633"/>
      <c r="D19" s="103">
        <v>1325</v>
      </c>
    </row>
    <row r="20" spans="1:4" ht="15.75" customHeight="1" x14ac:dyDescent="0.4">
      <c r="A20" s="65">
        <v>4</v>
      </c>
      <c r="B20" s="632" t="s">
        <v>252</v>
      </c>
      <c r="C20" s="633"/>
      <c r="D20" s="155">
        <v>220</v>
      </c>
    </row>
    <row r="21" spans="1:4" ht="15.75" customHeight="1" x14ac:dyDescent="0.35">
      <c r="A21" s="65">
        <v>5</v>
      </c>
      <c r="B21" s="632" t="s">
        <v>32</v>
      </c>
      <c r="C21" s="633"/>
      <c r="D21" s="165" t="s">
        <v>261</v>
      </c>
    </row>
    <row r="22" spans="1:4" ht="15.75" customHeight="1" x14ac:dyDescent="0.35">
      <c r="A22" s="65">
        <v>6</v>
      </c>
      <c r="B22" s="632" t="s">
        <v>2</v>
      </c>
      <c r="C22" s="633"/>
      <c r="D22" s="74">
        <v>44562</v>
      </c>
    </row>
    <row r="23" spans="1:4" ht="15.75" customHeight="1" x14ac:dyDescent="0.35">
      <c r="A23" s="700"/>
      <c r="B23" s="711"/>
      <c r="C23" s="711"/>
      <c r="D23" s="701"/>
    </row>
    <row r="24" spans="1:4" ht="15.75" customHeight="1" x14ac:dyDescent="0.35">
      <c r="A24" s="712" t="s">
        <v>33</v>
      </c>
      <c r="B24" s="712"/>
      <c r="C24" s="712"/>
      <c r="D24" s="712"/>
    </row>
    <row r="25" spans="1:4" ht="15.75" customHeight="1" x14ac:dyDescent="0.35">
      <c r="A25" s="713"/>
      <c r="B25" s="714"/>
      <c r="C25" s="714"/>
      <c r="D25" s="694"/>
    </row>
    <row r="26" spans="1:4" ht="15.75" customHeight="1" x14ac:dyDescent="0.35">
      <c r="A26" s="64">
        <v>1</v>
      </c>
      <c r="B26" s="634" t="s">
        <v>34</v>
      </c>
      <c r="C26" s="636"/>
      <c r="D26" s="64" t="s">
        <v>35</v>
      </c>
    </row>
    <row r="27" spans="1:4" ht="15.75" customHeight="1" outlineLevel="1" x14ac:dyDescent="0.35">
      <c r="A27" s="65" t="s">
        <v>36</v>
      </c>
      <c r="B27" s="63" t="s">
        <v>146</v>
      </c>
      <c r="C27" s="71">
        <f>'SR - ASG int'!C27</f>
        <v>220</v>
      </c>
      <c r="D27" s="104">
        <v>1325</v>
      </c>
    </row>
    <row r="28" spans="1:4" ht="15.75" customHeight="1" outlineLevel="1" x14ac:dyDescent="0.35">
      <c r="A28" s="65" t="s">
        <v>16</v>
      </c>
      <c r="B28" s="63" t="s">
        <v>147</v>
      </c>
      <c r="C28" s="28">
        <v>0</v>
      </c>
      <c r="D28" s="104">
        <f>C28*D27</f>
        <v>0</v>
      </c>
    </row>
    <row r="29" spans="1:4" ht="15.75" customHeight="1" outlineLevel="1" x14ac:dyDescent="0.35">
      <c r="A29" s="65" t="s">
        <v>17</v>
      </c>
      <c r="B29" s="63" t="s">
        <v>38</v>
      </c>
      <c r="C29" s="28">
        <v>0.2</v>
      </c>
      <c r="D29" s="104">
        <v>0</v>
      </c>
    </row>
    <row r="30" spans="1:4" ht="15.75" customHeight="1" outlineLevel="1" x14ac:dyDescent="0.35">
      <c r="A30" s="65" t="s">
        <v>19</v>
      </c>
      <c r="B30" s="63" t="s">
        <v>148</v>
      </c>
      <c r="C30" s="156">
        <v>0</v>
      </c>
      <c r="D30" s="105">
        <f>SUM(D31:D32)</f>
        <v>0</v>
      </c>
    </row>
    <row r="31" spans="1:4" ht="15.75" customHeight="1" outlineLevel="2" x14ac:dyDescent="0.35">
      <c r="A31" s="78" t="s">
        <v>111</v>
      </c>
      <c r="B31" s="63" t="s">
        <v>149</v>
      </c>
      <c r="C31" s="79">
        <v>0.2</v>
      </c>
      <c r="D31" s="105">
        <f>(SUM(D27:D29)/C27)*C31*15*C30</f>
        <v>0</v>
      </c>
    </row>
    <row r="32" spans="1:4" ht="15.75" customHeight="1" outlineLevel="2" x14ac:dyDescent="0.35">
      <c r="A32" s="78" t="s">
        <v>112</v>
      </c>
      <c r="B32" s="63" t="s">
        <v>150</v>
      </c>
      <c r="C32" s="80">
        <f>C30*(60/52.5)/8</f>
        <v>0</v>
      </c>
      <c r="D32" s="105">
        <f>(SUM(D27:D29)/C27)*(C31)*15*C32</f>
        <v>0</v>
      </c>
    </row>
    <row r="33" spans="1:4" ht="15.75" customHeight="1" outlineLevel="1" x14ac:dyDescent="0.35">
      <c r="A33" s="65" t="s">
        <v>22</v>
      </c>
      <c r="B33" s="63" t="s">
        <v>151</v>
      </c>
      <c r="C33" s="28" t="s">
        <v>152</v>
      </c>
      <c r="D33" s="1">
        <f>SUM(D34:D37)</f>
        <v>0</v>
      </c>
    </row>
    <row r="34" spans="1:4" ht="15.75" customHeight="1" outlineLevel="2" x14ac:dyDescent="0.35">
      <c r="A34" s="81" t="s">
        <v>153</v>
      </c>
      <c r="B34" s="82" t="s">
        <v>154</v>
      </c>
      <c r="C34" s="83">
        <v>0</v>
      </c>
      <c r="D34" s="106">
        <f>(SUM($D$27:$D$29)/$C$27)*C34*1.5</f>
        <v>0</v>
      </c>
    </row>
    <row r="35" spans="1:4" ht="15.75" customHeight="1" outlineLevel="2" x14ac:dyDescent="0.35">
      <c r="A35" s="81" t="s">
        <v>155</v>
      </c>
      <c r="B35" s="84" t="s">
        <v>156</v>
      </c>
      <c r="C35" s="85">
        <v>0</v>
      </c>
      <c r="D35" s="106">
        <f>(SUM($D$27:$D$29)/$C$27)*C35*((60/52.5)*1.2*1.5)</f>
        <v>0</v>
      </c>
    </row>
    <row r="36" spans="1:4" ht="15.75" customHeight="1" outlineLevel="2" x14ac:dyDescent="0.35">
      <c r="A36" s="81" t="s">
        <v>157</v>
      </c>
      <c r="B36" s="82" t="s">
        <v>158</v>
      </c>
      <c r="C36" s="86">
        <f>C34*0.1429</f>
        <v>0</v>
      </c>
      <c r="D36" s="106">
        <f>(SUM($D$27:$D$29)/$C$27)*C36*2</f>
        <v>0</v>
      </c>
    </row>
    <row r="37" spans="1:4" ht="15.75" customHeight="1" outlineLevel="2" x14ac:dyDescent="0.35">
      <c r="A37" s="81" t="s">
        <v>159</v>
      </c>
      <c r="B37" s="82" t="s">
        <v>160</v>
      </c>
      <c r="C37" s="86">
        <f>C34*0.1429</f>
        <v>0</v>
      </c>
      <c r="D37" s="106">
        <f>(SUM($D$27:$D$29)/$C$27)*C37*((60/52.5)*1.2*2)</f>
        <v>0</v>
      </c>
    </row>
    <row r="38" spans="1:4" ht="15.75" customHeight="1" outlineLevel="1" x14ac:dyDescent="0.35">
      <c r="A38" s="65" t="s">
        <v>24</v>
      </c>
      <c r="B38" s="55" t="s">
        <v>523</v>
      </c>
      <c r="C38" s="56">
        <v>0</v>
      </c>
      <c r="D38" s="107">
        <v>176.22</v>
      </c>
    </row>
    <row r="39" spans="1:4" ht="15.75" customHeight="1" x14ac:dyDescent="0.35">
      <c r="A39" s="634" t="s">
        <v>40</v>
      </c>
      <c r="B39" s="635"/>
      <c r="C39" s="636"/>
      <c r="D39" s="108">
        <f>SUM(D27:D30,D33,D38)</f>
        <v>1501.22</v>
      </c>
    </row>
    <row r="40" spans="1:4" ht="15.75" customHeight="1" x14ac:dyDescent="0.35">
      <c r="A40" s="650"/>
      <c r="B40" s="650"/>
      <c r="C40" s="650"/>
      <c r="D40" s="650"/>
    </row>
    <row r="41" spans="1:4" ht="15.75" customHeight="1" outlineLevel="1" x14ac:dyDescent="0.35">
      <c r="A41" s="87" t="s">
        <v>161</v>
      </c>
      <c r="B41" s="109" t="s">
        <v>162</v>
      </c>
      <c r="C41" s="110" t="s">
        <v>163</v>
      </c>
      <c r="D41" s="110" t="s">
        <v>35</v>
      </c>
    </row>
    <row r="42" spans="1:4" ht="15.75" customHeight="1" outlineLevel="1" x14ac:dyDescent="0.35">
      <c r="A42" s="111" t="s">
        <v>36</v>
      </c>
      <c r="B42" s="27" t="s">
        <v>164</v>
      </c>
      <c r="C42" s="88">
        <v>0</v>
      </c>
      <c r="D42" s="112">
        <f>(SUM(D27)/$C$27)*C42*1.5</f>
        <v>0</v>
      </c>
    </row>
    <row r="43" spans="1:4" ht="15.75" customHeight="1" outlineLevel="1" x14ac:dyDescent="0.35">
      <c r="A43" s="113" t="s">
        <v>17</v>
      </c>
      <c r="B43" s="114" t="s">
        <v>165</v>
      </c>
      <c r="C43" s="115">
        <v>0</v>
      </c>
      <c r="D43" s="104">
        <f>C43*177</f>
        <v>0</v>
      </c>
    </row>
    <row r="44" spans="1:4" ht="15.75" customHeight="1" outlineLevel="1" x14ac:dyDescent="0.35">
      <c r="A44" s="65" t="s">
        <v>19</v>
      </c>
      <c r="B44" s="55" t="s">
        <v>39</v>
      </c>
      <c r="C44" s="56">
        <v>0</v>
      </c>
      <c r="D44" s="107">
        <v>0</v>
      </c>
    </row>
    <row r="45" spans="1:4" ht="15.75" customHeight="1" x14ac:dyDescent="0.35">
      <c r="A45" s="644" t="s">
        <v>166</v>
      </c>
      <c r="B45" s="645"/>
      <c r="C45" s="30">
        <f>D45/D39</f>
        <v>0</v>
      </c>
      <c r="D45" s="116">
        <f>SUM(D42:D43)</f>
        <v>0</v>
      </c>
    </row>
    <row r="46" spans="1:4" ht="15.75" customHeight="1" x14ac:dyDescent="0.35">
      <c r="A46" s="646"/>
      <c r="B46" s="647"/>
      <c r="C46" s="647"/>
      <c r="D46" s="648"/>
    </row>
    <row r="47" spans="1:4" ht="15.75" customHeight="1" x14ac:dyDescent="0.35">
      <c r="A47" s="663" t="s">
        <v>41</v>
      </c>
      <c r="B47" s="664"/>
      <c r="C47" s="664"/>
      <c r="D47" s="665"/>
    </row>
    <row r="48" spans="1:4" ht="15.75" customHeight="1" outlineLevel="1" x14ac:dyDescent="0.35">
      <c r="A48" s="646"/>
      <c r="B48" s="647"/>
      <c r="C48" s="647"/>
      <c r="D48" s="648"/>
    </row>
    <row r="49" spans="1:4" ht="15.75" customHeight="1" outlineLevel="1" x14ac:dyDescent="0.35">
      <c r="A49" s="110" t="s">
        <v>42</v>
      </c>
      <c r="B49" s="109" t="s">
        <v>43</v>
      </c>
      <c r="C49" s="110" t="s">
        <v>44</v>
      </c>
      <c r="D49" s="110" t="s">
        <v>35</v>
      </c>
    </row>
    <row r="50" spans="1:4" ht="15.75" customHeight="1" outlineLevel="2" x14ac:dyDescent="0.35">
      <c r="A50" s="113" t="s">
        <v>36</v>
      </c>
      <c r="B50" s="114" t="s">
        <v>45</v>
      </c>
      <c r="C50" s="29">
        <f>1/12</f>
        <v>8.3299999999999999E-2</v>
      </c>
      <c r="D50" s="104">
        <f>C50*D39</f>
        <v>125.05</v>
      </c>
    </row>
    <row r="51" spans="1:4" ht="15.75" customHeight="1" outlineLevel="2" x14ac:dyDescent="0.35">
      <c r="A51" s="113" t="s">
        <v>16</v>
      </c>
      <c r="B51" s="114" t="s">
        <v>113</v>
      </c>
      <c r="C51" s="29">
        <f>IF(C12&gt;60,(1/C12/3)*5,IF(C12&gt;48,(1/C12/3)*4,IF(C12&gt;36,(1/C12/3)*3,IF(C12&gt;24,(1/C12/3)*2,IF(C12&gt;12,(1/C12/3)*1,0)))))</f>
        <v>1.67E-2</v>
      </c>
      <c r="D51" s="104">
        <f>C51*D39</f>
        <v>25.07</v>
      </c>
    </row>
    <row r="52" spans="1:4" ht="15.75" customHeight="1" outlineLevel="1" x14ac:dyDescent="0.35">
      <c r="A52" s="644" t="s">
        <v>11</v>
      </c>
      <c r="B52" s="645"/>
      <c r="C52" s="30">
        <f>SUM(C50:C51)</f>
        <v>0.1</v>
      </c>
      <c r="D52" s="116">
        <f>SUM(D50:D51)</f>
        <v>150.12</v>
      </c>
    </row>
    <row r="53" spans="1:4" ht="15.75" customHeight="1" outlineLevel="1" x14ac:dyDescent="0.35">
      <c r="A53" s="646"/>
      <c r="B53" s="647"/>
      <c r="C53" s="647"/>
      <c r="D53" s="648"/>
    </row>
    <row r="54" spans="1:4" ht="15.75" customHeight="1" outlineLevel="1" x14ac:dyDescent="0.35">
      <c r="A54" s="110" t="s">
        <v>46</v>
      </c>
      <c r="B54" s="117" t="s">
        <v>47</v>
      </c>
      <c r="C54" s="110" t="s">
        <v>44</v>
      </c>
      <c r="D54" s="118" t="s">
        <v>35</v>
      </c>
    </row>
    <row r="55" spans="1:4" ht="15.75" customHeight="1" outlineLevel="2" x14ac:dyDescent="0.35">
      <c r="A55" s="111" t="s">
        <v>36</v>
      </c>
      <c r="B55" s="31" t="s">
        <v>48</v>
      </c>
      <c r="C55" s="32">
        <v>0.2</v>
      </c>
      <c r="D55" s="104">
        <f t="shared" ref="D55:D62" si="0">C55*($D$39+$D$52)</f>
        <v>330.27</v>
      </c>
    </row>
    <row r="56" spans="1:4" ht="15.75" customHeight="1" outlineLevel="2" x14ac:dyDescent="0.35">
      <c r="A56" s="111" t="s">
        <v>16</v>
      </c>
      <c r="B56" s="31" t="s">
        <v>49</v>
      </c>
      <c r="C56" s="32">
        <v>2.5000000000000001E-2</v>
      </c>
      <c r="D56" s="104">
        <f t="shared" si="0"/>
        <v>41.28</v>
      </c>
    </row>
    <row r="57" spans="1:4" ht="15.75" customHeight="1" outlineLevel="2" x14ac:dyDescent="0.35">
      <c r="A57" s="111" t="s">
        <v>17</v>
      </c>
      <c r="B57" s="31" t="s">
        <v>167</v>
      </c>
      <c r="C57" s="66">
        <v>0.03</v>
      </c>
      <c r="D57" s="104">
        <f t="shared" si="0"/>
        <v>49.54</v>
      </c>
    </row>
    <row r="58" spans="1:4" ht="15.75" customHeight="1" outlineLevel="2" x14ac:dyDescent="0.35">
      <c r="A58" s="111" t="s">
        <v>19</v>
      </c>
      <c r="B58" s="31" t="s">
        <v>168</v>
      </c>
      <c r="C58" s="32">
        <v>1.4999999999999999E-2</v>
      </c>
      <c r="D58" s="104">
        <f t="shared" si="0"/>
        <v>24.77</v>
      </c>
    </row>
    <row r="59" spans="1:4" ht="15.75" customHeight="1" outlineLevel="2" x14ac:dyDescent="0.35">
      <c r="A59" s="111" t="s">
        <v>22</v>
      </c>
      <c r="B59" s="31" t="s">
        <v>169</v>
      </c>
      <c r="C59" s="32">
        <v>0.01</v>
      </c>
      <c r="D59" s="104">
        <f t="shared" si="0"/>
        <v>16.510000000000002</v>
      </c>
    </row>
    <row r="60" spans="1:4" ht="15.75" customHeight="1" outlineLevel="2" x14ac:dyDescent="0.35">
      <c r="A60" s="111" t="s">
        <v>24</v>
      </c>
      <c r="B60" s="31" t="s">
        <v>50</v>
      </c>
      <c r="C60" s="32">
        <v>6.0000000000000001E-3</v>
      </c>
      <c r="D60" s="104">
        <f t="shared" si="0"/>
        <v>9.91</v>
      </c>
    </row>
    <row r="61" spans="1:4" ht="15.75" customHeight="1" outlineLevel="2" x14ac:dyDescent="0.35">
      <c r="A61" s="111" t="s">
        <v>25</v>
      </c>
      <c r="B61" s="31" t="s">
        <v>51</v>
      </c>
      <c r="C61" s="32">
        <v>2E-3</v>
      </c>
      <c r="D61" s="104">
        <f t="shared" si="0"/>
        <v>3.3</v>
      </c>
    </row>
    <row r="62" spans="1:4" ht="15.75" customHeight="1" outlineLevel="2" x14ac:dyDescent="0.35">
      <c r="A62" s="111" t="s">
        <v>52</v>
      </c>
      <c r="B62" s="31" t="s">
        <v>53</v>
      </c>
      <c r="C62" s="32">
        <v>0.08</v>
      </c>
      <c r="D62" s="104">
        <f t="shared" si="0"/>
        <v>132.11000000000001</v>
      </c>
    </row>
    <row r="63" spans="1:4" ht="15.75" customHeight="1" outlineLevel="1" x14ac:dyDescent="0.35">
      <c r="A63" s="644" t="s">
        <v>11</v>
      </c>
      <c r="B63" s="645"/>
      <c r="C63" s="33">
        <f>SUM(C55:C62)</f>
        <v>0.36799999999999999</v>
      </c>
      <c r="D63" s="119">
        <f>SUM(D55:D62)</f>
        <v>607.69000000000005</v>
      </c>
    </row>
    <row r="64" spans="1:4" ht="15.75" customHeight="1" outlineLevel="1" x14ac:dyDescent="0.35">
      <c r="A64" s="646"/>
      <c r="B64" s="647"/>
      <c r="C64" s="647"/>
      <c r="D64" s="648"/>
    </row>
    <row r="65" spans="1:4" ht="15.75" customHeight="1" outlineLevel="1" x14ac:dyDescent="0.35">
      <c r="A65" s="110" t="s">
        <v>54</v>
      </c>
      <c r="B65" s="117" t="s">
        <v>55</v>
      </c>
      <c r="C65" s="110" t="s">
        <v>56</v>
      </c>
      <c r="D65" s="110" t="s">
        <v>35</v>
      </c>
    </row>
    <row r="66" spans="1:4" ht="15.75" customHeight="1" outlineLevel="2" x14ac:dyDescent="0.35">
      <c r="A66" s="111" t="s">
        <v>36</v>
      </c>
      <c r="B66" s="31" t="s">
        <v>57</v>
      </c>
      <c r="C66" s="120">
        <f>'SR - ASG int'!C66</f>
        <v>4.4000000000000004</v>
      </c>
      <c r="D66" s="121">
        <f>IF(D67+D68&gt;0,(D67+D68),0)</f>
        <v>114.1</v>
      </c>
    </row>
    <row r="67" spans="1:4" ht="15.75" customHeight="1" outlineLevel="3" x14ac:dyDescent="0.35">
      <c r="A67" s="122" t="s">
        <v>110</v>
      </c>
      <c r="B67" s="31" t="s">
        <v>170</v>
      </c>
      <c r="C67" s="123">
        <v>22</v>
      </c>
      <c r="D67" s="124">
        <f>C66*C67*2</f>
        <v>193.6</v>
      </c>
    </row>
    <row r="68" spans="1:4" ht="15.75" customHeight="1" outlineLevel="3" x14ac:dyDescent="0.35">
      <c r="A68" s="122" t="s">
        <v>114</v>
      </c>
      <c r="B68" s="31" t="s">
        <v>171</v>
      </c>
      <c r="C68" s="125">
        <v>0.06</v>
      </c>
      <c r="D68" s="124">
        <f>-D27*C68</f>
        <v>-79.5</v>
      </c>
    </row>
    <row r="69" spans="1:4" ht="15.75" customHeight="1" outlineLevel="2" x14ac:dyDescent="0.35">
      <c r="A69" s="111" t="s">
        <v>16</v>
      </c>
      <c r="B69" s="31" t="s">
        <v>58</v>
      </c>
      <c r="C69" s="382">
        <f>290/22</f>
        <v>13.182</v>
      </c>
      <c r="D69" s="121">
        <f>D70+D71</f>
        <v>290</v>
      </c>
    </row>
    <row r="70" spans="1:4" ht="15.75" customHeight="1" outlineLevel="3" x14ac:dyDescent="0.35">
      <c r="A70" s="122" t="s">
        <v>90</v>
      </c>
      <c r="B70" s="31" t="s">
        <v>172</v>
      </c>
      <c r="C70" s="123">
        <v>22</v>
      </c>
      <c r="D70" s="124">
        <f>C69*C70</f>
        <v>290</v>
      </c>
    </row>
    <row r="71" spans="1:4" ht="15.75" customHeight="1" outlineLevel="3" x14ac:dyDescent="0.35">
      <c r="A71" s="122" t="s">
        <v>115</v>
      </c>
      <c r="B71" s="31" t="s">
        <v>91</v>
      </c>
      <c r="C71" s="127">
        <f>'SR - ASG int'!C71</f>
        <v>0</v>
      </c>
      <c r="D71" s="124">
        <f>D70*C71</f>
        <v>0</v>
      </c>
    </row>
    <row r="72" spans="1:4" ht="15.75" customHeight="1" outlineLevel="2" x14ac:dyDescent="0.35">
      <c r="A72" s="111" t="s">
        <v>17</v>
      </c>
      <c r="B72" s="75" t="s">
        <v>291</v>
      </c>
      <c r="C72" s="378">
        <v>9.6999999999999993</v>
      </c>
      <c r="D72" s="129">
        <f>C72</f>
        <v>9.6999999999999993</v>
      </c>
    </row>
    <row r="73" spans="1:4" ht="15.75" customHeight="1" outlineLevel="2" x14ac:dyDescent="0.35">
      <c r="A73" s="111" t="s">
        <v>19</v>
      </c>
      <c r="B73" s="76" t="s">
        <v>293</v>
      </c>
      <c r="C73" s="126">
        <f>140*3</f>
        <v>420</v>
      </c>
      <c r="D73" s="129">
        <f>C73*C152</f>
        <v>0.84</v>
      </c>
    </row>
    <row r="74" spans="1:4" ht="15.75" customHeight="1" outlineLevel="2" x14ac:dyDescent="0.35">
      <c r="A74" s="111" t="s">
        <v>22</v>
      </c>
      <c r="B74" s="75" t="s">
        <v>292</v>
      </c>
      <c r="C74" s="126">
        <v>21</v>
      </c>
      <c r="D74" s="129">
        <f>C74</f>
        <v>21</v>
      </c>
    </row>
    <row r="75" spans="1:4" ht="15.75" customHeight="1" outlineLevel="2" x14ac:dyDescent="0.35">
      <c r="A75" s="111" t="s">
        <v>24</v>
      </c>
      <c r="B75" s="75" t="s">
        <v>553</v>
      </c>
      <c r="C75" s="128">
        <v>0</v>
      </c>
      <c r="D75" s="129">
        <v>97</v>
      </c>
    </row>
    <row r="76" spans="1:4" ht="15.75" customHeight="1" outlineLevel="2" x14ac:dyDescent="0.35">
      <c r="A76" s="111" t="s">
        <v>25</v>
      </c>
      <c r="B76" s="75" t="s">
        <v>39</v>
      </c>
      <c r="C76" s="126">
        <v>0</v>
      </c>
      <c r="D76" s="130">
        <f>C76</f>
        <v>0</v>
      </c>
    </row>
    <row r="77" spans="1:4" ht="15.75" customHeight="1" outlineLevel="1" x14ac:dyDescent="0.35">
      <c r="A77" s="644" t="s">
        <v>59</v>
      </c>
      <c r="B77" s="657"/>
      <c r="C77" s="645"/>
      <c r="D77" s="116">
        <f>SUM(D66,D69,D72:D76)</f>
        <v>532.64</v>
      </c>
    </row>
    <row r="78" spans="1:4" ht="15.75" customHeight="1" outlineLevel="1" x14ac:dyDescent="0.35">
      <c r="A78" s="646"/>
      <c r="B78" s="647"/>
      <c r="C78" s="647"/>
      <c r="D78" s="648"/>
    </row>
    <row r="79" spans="1:4" ht="15.75" customHeight="1" outlineLevel="1" x14ac:dyDescent="0.35">
      <c r="A79" s="661" t="s">
        <v>60</v>
      </c>
      <c r="B79" s="662"/>
      <c r="C79" s="110" t="s">
        <v>44</v>
      </c>
      <c r="D79" s="110" t="s">
        <v>35</v>
      </c>
    </row>
    <row r="80" spans="1:4" ht="15.75" customHeight="1" outlineLevel="1" x14ac:dyDescent="0.35">
      <c r="A80" s="111" t="s">
        <v>61</v>
      </c>
      <c r="B80" s="31" t="s">
        <v>43</v>
      </c>
      <c r="C80" s="34">
        <f>C52</f>
        <v>0.1</v>
      </c>
      <c r="D80" s="104">
        <f>D52</f>
        <v>150.12</v>
      </c>
    </row>
    <row r="81" spans="1:4" ht="15.75" customHeight="1" outlineLevel="1" x14ac:dyDescent="0.35">
      <c r="A81" s="111" t="s">
        <v>46</v>
      </c>
      <c r="B81" s="31" t="s">
        <v>47</v>
      </c>
      <c r="C81" s="34">
        <f>C63</f>
        <v>0.36799999999999999</v>
      </c>
      <c r="D81" s="104">
        <f>D63</f>
        <v>607.69000000000005</v>
      </c>
    </row>
    <row r="82" spans="1:4" ht="15.75" customHeight="1" outlineLevel="1" x14ac:dyDescent="0.35">
      <c r="A82" s="111" t="s">
        <v>62</v>
      </c>
      <c r="B82" s="31" t="s">
        <v>55</v>
      </c>
      <c r="C82" s="34">
        <f>D77/D39</f>
        <v>0.3548</v>
      </c>
      <c r="D82" s="104">
        <f>D77</f>
        <v>532.64</v>
      </c>
    </row>
    <row r="83" spans="1:4" ht="15.75" customHeight="1" x14ac:dyDescent="0.35">
      <c r="A83" s="644" t="s">
        <v>11</v>
      </c>
      <c r="B83" s="657"/>
      <c r="C83" s="645"/>
      <c r="D83" s="116">
        <f>SUM(D80:D82)</f>
        <v>1290.45</v>
      </c>
    </row>
    <row r="84" spans="1:4" ht="15.75" customHeight="1" x14ac:dyDescent="0.35">
      <c r="A84" s="646"/>
      <c r="B84" s="647"/>
      <c r="C84" s="647"/>
      <c r="D84" s="648"/>
    </row>
    <row r="85" spans="1:4" ht="15.75" customHeight="1" x14ac:dyDescent="0.35">
      <c r="A85" s="680" t="s">
        <v>173</v>
      </c>
      <c r="B85" s="681"/>
      <c r="C85" s="681"/>
      <c r="D85" s="682"/>
    </row>
    <row r="86" spans="1:4" ht="15.75" customHeight="1" outlineLevel="1" x14ac:dyDescent="0.35">
      <c r="A86" s="646"/>
      <c r="B86" s="647"/>
      <c r="C86" s="647"/>
      <c r="D86" s="648"/>
    </row>
    <row r="87" spans="1:4" ht="15.75" customHeight="1" outlineLevel="1" x14ac:dyDescent="0.35">
      <c r="A87" s="64" t="s">
        <v>174</v>
      </c>
      <c r="B87" s="109" t="s">
        <v>175</v>
      </c>
      <c r="C87" s="110" t="s">
        <v>44</v>
      </c>
      <c r="D87" s="110" t="s">
        <v>35</v>
      </c>
    </row>
    <row r="88" spans="1:4" ht="15.75" customHeight="1" outlineLevel="2" x14ac:dyDescent="0.35">
      <c r="A88" s="35" t="s">
        <v>36</v>
      </c>
      <c r="B88" s="36" t="s">
        <v>176</v>
      </c>
      <c r="C88" s="35" t="s">
        <v>152</v>
      </c>
      <c r="D88" s="131">
        <f>IF(C99&gt;1,SUM(D89:D92)*2,SUM(D89:D92))</f>
        <v>2115.4699999999998</v>
      </c>
    </row>
    <row r="89" spans="1:4" ht="15.75" customHeight="1" outlineLevel="3" x14ac:dyDescent="0.35">
      <c r="A89" s="37" t="s">
        <v>177</v>
      </c>
      <c r="B89" s="38" t="s">
        <v>178</v>
      </c>
      <c r="C89" s="35">
        <f>(IF(C12&gt;60,45,IF(C12&gt;48,42,IF(C12&gt;36,39,IF(C12&gt;24,36,IF(C12&gt;12,33,30)))))/30)</f>
        <v>1.1000000000000001</v>
      </c>
      <c r="D89" s="131">
        <f>D39*C89</f>
        <v>1651.34</v>
      </c>
    </row>
    <row r="90" spans="1:4" ht="15.75" customHeight="1" outlineLevel="3" x14ac:dyDescent="0.35">
      <c r="A90" s="37" t="s">
        <v>179</v>
      </c>
      <c r="B90" s="38" t="s">
        <v>180</v>
      </c>
      <c r="C90" s="29">
        <f>1/12</f>
        <v>8.3299999999999999E-2</v>
      </c>
      <c r="D90" s="131">
        <f>C90*D89</f>
        <v>137.56</v>
      </c>
    </row>
    <row r="91" spans="1:4" ht="15.75" customHeight="1" outlineLevel="3" x14ac:dyDescent="0.35">
      <c r="A91" s="37" t="s">
        <v>181</v>
      </c>
      <c r="B91" s="38" t="s">
        <v>182</v>
      </c>
      <c r="C91" s="29">
        <f>(1/12)+(1/12/3)</f>
        <v>0.1111</v>
      </c>
      <c r="D91" s="132">
        <f>C91*D89</f>
        <v>183.46</v>
      </c>
    </row>
    <row r="92" spans="1:4" ht="15.75" customHeight="1" outlineLevel="3" x14ac:dyDescent="0.35">
      <c r="A92" s="37" t="s">
        <v>183</v>
      </c>
      <c r="B92" s="38" t="s">
        <v>184</v>
      </c>
      <c r="C92" s="39">
        <v>0.08</v>
      </c>
      <c r="D92" s="131">
        <f>SUM(D89:D90)*C92</f>
        <v>143.11000000000001</v>
      </c>
    </row>
    <row r="93" spans="1:4" ht="15.75" customHeight="1" outlineLevel="2" x14ac:dyDescent="0.35">
      <c r="A93" s="35" t="s">
        <v>16</v>
      </c>
      <c r="B93" s="36" t="s">
        <v>185</v>
      </c>
      <c r="C93" s="40">
        <v>0.4</v>
      </c>
      <c r="D93" s="131">
        <f>C93*D94</f>
        <v>1058.46</v>
      </c>
    </row>
    <row r="94" spans="1:4" ht="15.75" customHeight="1" outlineLevel="3" x14ac:dyDescent="0.35">
      <c r="A94" s="35" t="s">
        <v>186</v>
      </c>
      <c r="B94" s="36" t="s">
        <v>187</v>
      </c>
      <c r="C94" s="40">
        <f>C62</f>
        <v>0.08</v>
      </c>
      <c r="D94" s="131">
        <f>C94*D95</f>
        <v>2646.15</v>
      </c>
    </row>
    <row r="95" spans="1:4" ht="15.75" customHeight="1" outlineLevel="3" x14ac:dyDescent="0.35">
      <c r="A95" s="35" t="s">
        <v>188</v>
      </c>
      <c r="B95" s="41" t="s">
        <v>116</v>
      </c>
      <c r="C95" s="42" t="s">
        <v>152</v>
      </c>
      <c r="D95" s="132">
        <f>SUM(D96:D98)</f>
        <v>33076.879999999997</v>
      </c>
    </row>
    <row r="96" spans="1:4" ht="15.75" customHeight="1" outlineLevel="3" x14ac:dyDescent="0.35">
      <c r="A96" s="37" t="s">
        <v>189</v>
      </c>
      <c r="B96" s="38" t="s">
        <v>190</v>
      </c>
      <c r="C96" s="43">
        <f>C12-C98</f>
        <v>19</v>
      </c>
      <c r="D96" s="131">
        <f>D39*C96</f>
        <v>28523.18</v>
      </c>
    </row>
    <row r="97" spans="1:4" ht="15.75" customHeight="1" outlineLevel="3" x14ac:dyDescent="0.35">
      <c r="A97" s="37" t="s">
        <v>191</v>
      </c>
      <c r="B97" s="38" t="s">
        <v>192</v>
      </c>
      <c r="C97" s="44">
        <f>C12/12</f>
        <v>1.7</v>
      </c>
      <c r="D97" s="131">
        <f>D39*C97</f>
        <v>2552.0700000000002</v>
      </c>
    </row>
    <row r="98" spans="1:4" ht="15.75" customHeight="1" outlineLevel="3" x14ac:dyDescent="0.35">
      <c r="A98" s="37" t="s">
        <v>193</v>
      </c>
      <c r="B98" s="38" t="s">
        <v>194</v>
      </c>
      <c r="C98" s="42">
        <f>IF(C12&gt;60,5,IF(C12&gt;48,4,IF(C12&gt;36,3,IF(C12&gt;24,2,IF(C12&gt;12,1,0)))))</f>
        <v>1</v>
      </c>
      <c r="D98" s="132">
        <f>D39*C98*1.33333333333333</f>
        <v>2001.63</v>
      </c>
    </row>
    <row r="99" spans="1:4" ht="15.75" customHeight="1" outlineLevel="1" x14ac:dyDescent="0.35">
      <c r="A99" s="644" t="s">
        <v>11</v>
      </c>
      <c r="B99" s="645"/>
      <c r="C99" s="67">
        <f>'SR - ASG int'!C99</f>
        <v>5.5500000000000001E-2</v>
      </c>
      <c r="D99" s="116">
        <f>IF(C99&gt;1,D88+D93,(D88+D93)*C99)</f>
        <v>176.15</v>
      </c>
    </row>
    <row r="100" spans="1:4" ht="15.75" customHeight="1" outlineLevel="1" x14ac:dyDescent="0.35">
      <c r="A100" s="658"/>
      <c r="B100" s="659"/>
      <c r="C100" s="659"/>
      <c r="D100" s="660"/>
    </row>
    <row r="101" spans="1:4" ht="15.75" customHeight="1" outlineLevel="1" x14ac:dyDescent="0.35">
      <c r="A101" s="64" t="s">
        <v>195</v>
      </c>
      <c r="B101" s="109" t="s">
        <v>196</v>
      </c>
      <c r="C101" s="110" t="s">
        <v>44</v>
      </c>
      <c r="D101" s="110" t="s">
        <v>35</v>
      </c>
    </row>
    <row r="102" spans="1:4" ht="15.75" customHeight="1" outlineLevel="2" x14ac:dyDescent="0.35">
      <c r="A102" s="35" t="s">
        <v>36</v>
      </c>
      <c r="B102" s="41" t="s">
        <v>197</v>
      </c>
      <c r="C102" s="45">
        <f>IF(C111&gt;1,(1/30*7)*2,(1/30*7))</f>
        <v>0.23330000000000001</v>
      </c>
      <c r="D102" s="132">
        <f>C102*SUM(D103:D107)</f>
        <v>682.21</v>
      </c>
    </row>
    <row r="103" spans="1:4" ht="15.75" customHeight="1" outlineLevel="3" x14ac:dyDescent="0.35">
      <c r="A103" s="37" t="s">
        <v>177</v>
      </c>
      <c r="B103" s="38" t="s">
        <v>198</v>
      </c>
      <c r="C103" s="35">
        <v>1</v>
      </c>
      <c r="D103" s="131">
        <f>D39</f>
        <v>1501.22</v>
      </c>
    </row>
    <row r="104" spans="1:4" ht="15.75" customHeight="1" outlineLevel="3" x14ac:dyDescent="0.35">
      <c r="A104" s="37" t="s">
        <v>179</v>
      </c>
      <c r="B104" s="38" t="s">
        <v>199</v>
      </c>
      <c r="C104" s="29">
        <f>1/12</f>
        <v>8.3299999999999999E-2</v>
      </c>
      <c r="D104" s="131">
        <f>C104*D103</f>
        <v>125.05</v>
      </c>
    </row>
    <row r="105" spans="1:4" ht="15.75" customHeight="1" outlineLevel="3" x14ac:dyDescent="0.35">
      <c r="A105" s="37" t="s">
        <v>181</v>
      </c>
      <c r="B105" s="38" t="s">
        <v>200</v>
      </c>
      <c r="C105" s="29">
        <f>(1/12)+(1/12/3)</f>
        <v>0.1111</v>
      </c>
      <c r="D105" s="131">
        <f>C105*D103</f>
        <v>166.79</v>
      </c>
    </row>
    <row r="106" spans="1:4" ht="15.75" customHeight="1" outlineLevel="3" x14ac:dyDescent="0.35">
      <c r="A106" s="37" t="s">
        <v>183</v>
      </c>
      <c r="B106" s="46" t="s">
        <v>63</v>
      </c>
      <c r="C106" s="47">
        <f>C63</f>
        <v>0.36799999999999999</v>
      </c>
      <c r="D106" s="132">
        <f>C106*(D103+D104)</f>
        <v>598.47</v>
      </c>
    </row>
    <row r="107" spans="1:4" ht="15.75" customHeight="1" outlineLevel="3" x14ac:dyDescent="0.35">
      <c r="A107" s="37" t="s">
        <v>201</v>
      </c>
      <c r="B107" s="46" t="s">
        <v>202</v>
      </c>
      <c r="C107" s="42">
        <v>1</v>
      </c>
      <c r="D107" s="132">
        <f>D77</f>
        <v>532.64</v>
      </c>
    </row>
    <row r="108" spans="1:4" ht="15.75" customHeight="1" outlineLevel="2" x14ac:dyDescent="0.35">
      <c r="A108" s="35" t="s">
        <v>16</v>
      </c>
      <c r="B108" s="36" t="s">
        <v>203</v>
      </c>
      <c r="C108" s="40">
        <v>0.4</v>
      </c>
      <c r="D108" s="131">
        <f>C108*D109</f>
        <v>1058.46</v>
      </c>
    </row>
    <row r="109" spans="1:4" ht="15.75" customHeight="1" outlineLevel="2" x14ac:dyDescent="0.35">
      <c r="A109" s="35" t="s">
        <v>186</v>
      </c>
      <c r="B109" s="36" t="s">
        <v>187</v>
      </c>
      <c r="C109" s="40">
        <f>C62</f>
        <v>0.08</v>
      </c>
      <c r="D109" s="131">
        <f>C109*D110</f>
        <v>2646.15</v>
      </c>
    </row>
    <row r="110" spans="1:4" ht="15.75" customHeight="1" outlineLevel="2" x14ac:dyDescent="0.35">
      <c r="A110" s="35" t="s">
        <v>188</v>
      </c>
      <c r="B110" s="41" t="s">
        <v>116</v>
      </c>
      <c r="C110" s="42" t="s">
        <v>152</v>
      </c>
      <c r="D110" s="132">
        <f>D95</f>
        <v>33076.879999999997</v>
      </c>
    </row>
    <row r="111" spans="1:4" ht="15.75" customHeight="1" outlineLevel="1" x14ac:dyDescent="0.35">
      <c r="A111" s="644" t="s">
        <v>11</v>
      </c>
      <c r="B111" s="645"/>
      <c r="C111" s="67">
        <f>'SR - ASG int'!C111</f>
        <v>0.94450000000000001</v>
      </c>
      <c r="D111" s="116">
        <f>IF(C111&gt;1,D102+D108,(D102+D108)*C111)</f>
        <v>1644.06</v>
      </c>
    </row>
    <row r="112" spans="1:4" ht="15.75" customHeight="1" outlineLevel="1" x14ac:dyDescent="0.35">
      <c r="A112" s="658"/>
      <c r="B112" s="659"/>
      <c r="C112" s="659"/>
      <c r="D112" s="660"/>
    </row>
    <row r="113" spans="1:4" ht="15.75" customHeight="1" outlineLevel="1" x14ac:dyDescent="0.35">
      <c r="A113" s="64" t="s">
        <v>204</v>
      </c>
      <c r="B113" s="109" t="s">
        <v>205</v>
      </c>
      <c r="C113" s="110" t="s">
        <v>44</v>
      </c>
      <c r="D113" s="110" t="s">
        <v>35</v>
      </c>
    </row>
    <row r="114" spans="1:4" ht="15.75" customHeight="1" outlineLevel="2" x14ac:dyDescent="0.35">
      <c r="A114" s="111" t="s">
        <v>36</v>
      </c>
      <c r="B114" s="31" t="s">
        <v>206</v>
      </c>
      <c r="C114" s="34">
        <f>IF(C12&gt;60,(D39/12*(C12-60))/C12/D39,IF(C12&gt;48,(D39/12*(C12-48))/C12/D39,IF(C12&gt;36,(D39/12*(C12-36))/C12/D39,IF(C12&gt;24,(D39/12*(C12-24))/C12/D39,IF(C12&gt;12,((D39/12*(C12-12))/C12/D39),1/12)))))</f>
        <v>3.3300000000000003E-2</v>
      </c>
      <c r="D114" s="133">
        <f>C114*D39</f>
        <v>49.99</v>
      </c>
    </row>
    <row r="115" spans="1:4" ht="15.75" customHeight="1" outlineLevel="2" x14ac:dyDescent="0.35">
      <c r="A115" s="111" t="s">
        <v>16</v>
      </c>
      <c r="B115" s="48" t="s">
        <v>207</v>
      </c>
      <c r="C115" s="34">
        <f>C114/3</f>
        <v>1.11E-2</v>
      </c>
      <c r="D115" s="134">
        <f>C115*D39</f>
        <v>16.66</v>
      </c>
    </row>
    <row r="116" spans="1:4" ht="15.75" customHeight="1" outlineLevel="1" x14ac:dyDescent="0.35">
      <c r="A116" s="644" t="s">
        <v>11</v>
      </c>
      <c r="B116" s="645"/>
      <c r="C116" s="30">
        <f>C114+C115</f>
        <v>4.4400000000000002E-2</v>
      </c>
      <c r="D116" s="116">
        <f>SUM(D114:D115)</f>
        <v>66.650000000000006</v>
      </c>
    </row>
    <row r="117" spans="1:4" ht="15.75" customHeight="1" outlineLevel="1" x14ac:dyDescent="0.35">
      <c r="A117" s="658"/>
      <c r="B117" s="659"/>
      <c r="C117" s="659"/>
      <c r="D117" s="660"/>
    </row>
    <row r="118" spans="1:4" ht="15.75" customHeight="1" outlineLevel="1" x14ac:dyDescent="0.35">
      <c r="A118" s="661" t="s">
        <v>208</v>
      </c>
      <c r="B118" s="662"/>
      <c r="C118" s="110" t="s">
        <v>44</v>
      </c>
      <c r="D118" s="110" t="s">
        <v>35</v>
      </c>
    </row>
    <row r="119" spans="1:4" ht="15.75" customHeight="1" outlineLevel="1" x14ac:dyDescent="0.35">
      <c r="A119" s="111" t="s">
        <v>174</v>
      </c>
      <c r="B119" s="31" t="s">
        <v>175</v>
      </c>
      <c r="C119" s="34">
        <f>C99</f>
        <v>5.5500000000000001E-2</v>
      </c>
      <c r="D119" s="104">
        <f>D99</f>
        <v>176.15</v>
      </c>
    </row>
    <row r="120" spans="1:4" ht="15.75" customHeight="1" outlineLevel="1" x14ac:dyDescent="0.35">
      <c r="A120" s="113" t="s">
        <v>195</v>
      </c>
      <c r="B120" s="31" t="s">
        <v>196</v>
      </c>
      <c r="C120" s="49">
        <f>C111</f>
        <v>0.94450000000000001</v>
      </c>
      <c r="D120" s="104">
        <f>D111</f>
        <v>1644.06</v>
      </c>
    </row>
    <row r="121" spans="1:4" ht="15.75" customHeight="1" outlineLevel="1" x14ac:dyDescent="0.35">
      <c r="A121" s="679" t="s">
        <v>209</v>
      </c>
      <c r="B121" s="679"/>
      <c r="C121" s="679"/>
      <c r="D121" s="135">
        <f>D119+D120</f>
        <v>1820.21</v>
      </c>
    </row>
    <row r="122" spans="1:4" ht="15.75" customHeight="1" outlineLevel="1" x14ac:dyDescent="0.35">
      <c r="A122" s="675" t="s">
        <v>210</v>
      </c>
      <c r="B122" s="676"/>
      <c r="C122" s="68">
        <f>'SR - ASG int'!C122</f>
        <v>0.63570000000000004</v>
      </c>
      <c r="D122" s="58">
        <f>C122*D121</f>
        <v>1157.1099999999999</v>
      </c>
    </row>
    <row r="123" spans="1:4" ht="15.75" customHeight="1" outlineLevel="1" x14ac:dyDescent="0.35">
      <c r="A123" s="675" t="s">
        <v>211</v>
      </c>
      <c r="B123" s="676"/>
      <c r="C123" s="68">
        <f>'SR - ASG int'!C123</f>
        <v>1.0999999999999999E-2</v>
      </c>
      <c r="D123" s="58">
        <f>(D50+(D116/2))*-C123</f>
        <v>-1.74</v>
      </c>
    </row>
    <row r="124" spans="1:4" ht="15.75" customHeight="1" outlineLevel="1" x14ac:dyDescent="0.35">
      <c r="A124" s="677" t="s">
        <v>212</v>
      </c>
      <c r="B124" s="678"/>
      <c r="C124" s="72">
        <f>1/C12</f>
        <v>0.05</v>
      </c>
      <c r="D124" s="59">
        <f>(D122+D123)*C124</f>
        <v>57.77</v>
      </c>
    </row>
    <row r="125" spans="1:4" ht="15.75" customHeight="1" outlineLevel="1" x14ac:dyDescent="0.35">
      <c r="A125" s="113" t="s">
        <v>204</v>
      </c>
      <c r="B125" s="31" t="s">
        <v>213</v>
      </c>
      <c r="C125" s="49"/>
      <c r="D125" s="124">
        <f>D116</f>
        <v>66.650000000000006</v>
      </c>
    </row>
    <row r="126" spans="1:4" ht="15.75" customHeight="1" x14ac:dyDescent="0.35">
      <c r="A126" s="644" t="s">
        <v>11</v>
      </c>
      <c r="B126" s="645"/>
      <c r="C126" s="30"/>
      <c r="D126" s="136">
        <f>D124+D125</f>
        <v>124.42</v>
      </c>
    </row>
    <row r="127" spans="1:4" ht="15.75" customHeight="1" x14ac:dyDescent="0.35">
      <c r="A127" s="646"/>
      <c r="B127" s="647"/>
      <c r="C127" s="647"/>
      <c r="D127" s="648"/>
    </row>
    <row r="128" spans="1:4" ht="15.75" customHeight="1" x14ac:dyDescent="0.35">
      <c r="A128" s="663" t="s">
        <v>64</v>
      </c>
      <c r="B128" s="664"/>
      <c r="C128" s="664"/>
      <c r="D128" s="665"/>
    </row>
    <row r="129" spans="1:4" ht="15.75" customHeight="1" outlineLevel="1" x14ac:dyDescent="0.35">
      <c r="A129" s="658"/>
      <c r="B129" s="659"/>
      <c r="C129" s="659"/>
      <c r="D129" s="660"/>
    </row>
    <row r="130" spans="1:4" ht="15.75" customHeight="1" outlineLevel="1" x14ac:dyDescent="0.35">
      <c r="A130" s="110" t="s">
        <v>65</v>
      </c>
      <c r="B130" s="117" t="s">
        <v>214</v>
      </c>
      <c r="C130" s="30" t="s">
        <v>44</v>
      </c>
      <c r="D130" s="110" t="s">
        <v>35</v>
      </c>
    </row>
    <row r="131" spans="1:4" ht="15.75" customHeight="1" outlineLevel="2" x14ac:dyDescent="0.35">
      <c r="A131" s="137" t="s">
        <v>36</v>
      </c>
      <c r="B131" s="89" t="s">
        <v>66</v>
      </c>
      <c r="C131" s="50">
        <f>IF(C12&gt;60,5/C12,IF(C12&gt;48,4/C12,IF(C12&gt;36,3/C12,IF(C12&gt;24,2/C12,IF(C12&gt;12,1/C12,0)))))</f>
        <v>0.05</v>
      </c>
      <c r="D131" s="133">
        <f>SUM(D132:D136)</f>
        <v>65.650000000000006</v>
      </c>
    </row>
    <row r="132" spans="1:4" ht="15.75" customHeight="1" outlineLevel="3" x14ac:dyDescent="0.35">
      <c r="A132" s="138" t="s">
        <v>215</v>
      </c>
      <c r="B132" s="90" t="s">
        <v>216</v>
      </c>
      <c r="C132" s="139">
        <f>D39</f>
        <v>1501.22</v>
      </c>
      <c r="D132" s="140">
        <f>$C$131*(D39)-($C$131*(D39)*C137/3)</f>
        <v>50.04</v>
      </c>
    </row>
    <row r="133" spans="1:4" ht="15.75" customHeight="1" outlineLevel="3" x14ac:dyDescent="0.35">
      <c r="A133" s="138" t="s">
        <v>217</v>
      </c>
      <c r="B133" s="90" t="s">
        <v>218</v>
      </c>
      <c r="C133" s="139">
        <f>(D50)</f>
        <v>125.05</v>
      </c>
      <c r="D133" s="140">
        <f>$C$131*C133-($C$131*C133*C137/3)</f>
        <v>4.17</v>
      </c>
    </row>
    <row r="134" spans="1:4" ht="15.75" customHeight="1" outlineLevel="3" x14ac:dyDescent="0.35">
      <c r="A134" s="138" t="s">
        <v>219</v>
      </c>
      <c r="B134" s="90" t="s">
        <v>220</v>
      </c>
      <c r="C134" s="141">
        <f>(D39/12)+(D51*IF(C12&gt;60,((C12-60)*(1/60))+1,IF(C12&gt;48,((C12-48)*(1/48))+1,IF(C12&gt;36,((C12-36)*(1/36))+1,IF(C12&gt;24,((C12-24)*(1/24))+1,IF(C12&gt;12,((C12-12)*(1/12))+1,1))))))</f>
        <v>166.89</v>
      </c>
      <c r="D134" s="140">
        <f>$C$131*C134-($C$131*C134*C137/3)</f>
        <v>5.56</v>
      </c>
    </row>
    <row r="135" spans="1:4" ht="15.75" customHeight="1" outlineLevel="3" x14ac:dyDescent="0.35">
      <c r="A135" s="138" t="s">
        <v>221</v>
      </c>
      <c r="B135" s="90" t="s">
        <v>222</v>
      </c>
      <c r="C135" s="91">
        <f>C63</f>
        <v>0.36799999999999999</v>
      </c>
      <c r="D135" s="140">
        <f>SUM(D132:D134)*C131</f>
        <v>2.99</v>
      </c>
    </row>
    <row r="136" spans="1:4" ht="15.75" customHeight="1" outlineLevel="3" x14ac:dyDescent="0.35">
      <c r="A136" s="138" t="s">
        <v>223</v>
      </c>
      <c r="B136" s="90" t="s">
        <v>224</v>
      </c>
      <c r="C136" s="141">
        <f>D124</f>
        <v>57.77</v>
      </c>
      <c r="D136" s="140">
        <f>C136*C131</f>
        <v>2.89</v>
      </c>
    </row>
    <row r="137" spans="1:4" ht="15.75" customHeight="1" outlineLevel="2" x14ac:dyDescent="0.35">
      <c r="A137" s="111" t="s">
        <v>16</v>
      </c>
      <c r="B137" s="31" t="s">
        <v>225</v>
      </c>
      <c r="C137" s="92">
        <v>1</v>
      </c>
      <c r="D137" s="124">
        <f>$C$131*(D39)*(C137/3)</f>
        <v>25.02</v>
      </c>
    </row>
    <row r="138" spans="1:4" ht="15.75" customHeight="1" outlineLevel="1" x14ac:dyDescent="0.35">
      <c r="A138" s="644" t="s">
        <v>226</v>
      </c>
      <c r="B138" s="645"/>
      <c r="C138" s="30">
        <f>C131+(D137/D39)</f>
        <v>6.6699999999999995E-2</v>
      </c>
      <c r="D138" s="116">
        <f>SUM(D131:D137)</f>
        <v>156.32</v>
      </c>
    </row>
    <row r="139" spans="1:4" ht="15.75" customHeight="1" outlineLevel="1" x14ac:dyDescent="0.35">
      <c r="A139" s="658"/>
      <c r="B139" s="659"/>
      <c r="C139" s="659"/>
      <c r="D139" s="660"/>
    </row>
    <row r="140" spans="1:4" ht="15.75" customHeight="1" outlineLevel="2" x14ac:dyDescent="0.35">
      <c r="A140" s="668" t="s">
        <v>227</v>
      </c>
      <c r="B140" s="142" t="s">
        <v>190</v>
      </c>
      <c r="C140" s="93">
        <v>220</v>
      </c>
      <c r="D140" s="143">
        <f>D39</f>
        <v>1501.22</v>
      </c>
    </row>
    <row r="141" spans="1:4" ht="15.75" customHeight="1" outlineLevel="2" x14ac:dyDescent="0.35">
      <c r="A141" s="669"/>
      <c r="B141" s="142" t="s">
        <v>228</v>
      </c>
      <c r="C141" s="50">
        <f>(1+(1/3)+1)/12</f>
        <v>0.19439999999999999</v>
      </c>
      <c r="D141" s="144">
        <f>D140*C141</f>
        <v>291.83999999999997</v>
      </c>
    </row>
    <row r="142" spans="1:4" ht="15.75" customHeight="1" outlineLevel="2" x14ac:dyDescent="0.35">
      <c r="A142" s="669"/>
      <c r="B142" s="142" t="s">
        <v>229</v>
      </c>
      <c r="C142" s="50">
        <f>C63</f>
        <v>0.36799999999999999</v>
      </c>
      <c r="D142" s="144">
        <f>(D140+D141)*C142</f>
        <v>659.85</v>
      </c>
    </row>
    <row r="143" spans="1:4" ht="15.75" customHeight="1" outlineLevel="2" x14ac:dyDescent="0.35">
      <c r="A143" s="669"/>
      <c r="B143" s="142" t="s">
        <v>230</v>
      </c>
      <c r="C143" s="50">
        <f>D143/D140</f>
        <v>0.3548</v>
      </c>
      <c r="D143" s="144">
        <f>D77</f>
        <v>532.64</v>
      </c>
    </row>
    <row r="144" spans="1:4" ht="15.75" customHeight="1" outlineLevel="2" x14ac:dyDescent="0.35">
      <c r="A144" s="670"/>
      <c r="B144" s="145" t="s">
        <v>231</v>
      </c>
      <c r="C144" s="50">
        <f>D144/D140</f>
        <v>3.85E-2</v>
      </c>
      <c r="D144" s="144">
        <f>D124</f>
        <v>57.77</v>
      </c>
    </row>
    <row r="145" spans="1:4" ht="15.75" customHeight="1" outlineLevel="2" x14ac:dyDescent="0.35">
      <c r="A145" s="671" t="s">
        <v>232</v>
      </c>
      <c r="B145" s="672"/>
      <c r="C145" s="94">
        <f>D145/D140</f>
        <v>2.0272000000000001</v>
      </c>
      <c r="D145" s="146">
        <f>SUM(D140:D144)</f>
        <v>3043.32</v>
      </c>
    </row>
    <row r="146" spans="1:4" ht="15.75" customHeight="1" outlineLevel="2" x14ac:dyDescent="0.35">
      <c r="A146" s="673"/>
      <c r="B146" s="673"/>
      <c r="C146" s="673"/>
      <c r="D146" s="674"/>
    </row>
    <row r="147" spans="1:4" ht="15.75" customHeight="1" outlineLevel="1" x14ac:dyDescent="0.35">
      <c r="A147" s="110" t="s">
        <v>233</v>
      </c>
      <c r="B147" s="117" t="s">
        <v>234</v>
      </c>
      <c r="C147" s="30" t="s">
        <v>44</v>
      </c>
      <c r="D147" s="110" t="s">
        <v>35</v>
      </c>
    </row>
    <row r="148" spans="1:4" ht="15.75" customHeight="1" outlineLevel="2" x14ac:dyDescent="0.35">
      <c r="A148" s="111" t="s">
        <v>16</v>
      </c>
      <c r="B148" s="31" t="s">
        <v>118</v>
      </c>
      <c r="C148" s="77">
        <f>5/252</f>
        <v>1.9800000000000002E-2</v>
      </c>
      <c r="D148" s="133">
        <f>C148*$D$145</f>
        <v>60.26</v>
      </c>
    </row>
    <row r="149" spans="1:4" ht="15.75" customHeight="1" outlineLevel="2" x14ac:dyDescent="0.35">
      <c r="A149" s="111" t="s">
        <v>17</v>
      </c>
      <c r="B149" s="31" t="s">
        <v>119</v>
      </c>
      <c r="C149" s="77">
        <f>1.383/252</f>
        <v>5.4999999999999997E-3</v>
      </c>
      <c r="D149" s="133">
        <f>C149*$D$145</f>
        <v>16.739999999999998</v>
      </c>
    </row>
    <row r="150" spans="1:4" ht="15.75" customHeight="1" outlineLevel="2" x14ac:dyDescent="0.35">
      <c r="A150" s="111" t="s">
        <v>19</v>
      </c>
      <c r="B150" s="31" t="s">
        <v>117</v>
      </c>
      <c r="C150" s="77">
        <f>1.3892/252</f>
        <v>5.4999999999999997E-3</v>
      </c>
      <c r="D150" s="133">
        <f t="shared" ref="D150:D153" si="1">C150*$D$145</f>
        <v>16.739999999999998</v>
      </c>
    </row>
    <row r="151" spans="1:4" ht="15.75" customHeight="1" outlineLevel="2" x14ac:dyDescent="0.35">
      <c r="A151" s="111" t="s">
        <v>22</v>
      </c>
      <c r="B151" s="31" t="s">
        <v>67</v>
      </c>
      <c r="C151" s="77">
        <f>0.65/252</f>
        <v>2.5999999999999999E-3</v>
      </c>
      <c r="D151" s="133">
        <f t="shared" si="1"/>
        <v>7.91</v>
      </c>
    </row>
    <row r="152" spans="1:4" ht="15.75" customHeight="1" outlineLevel="2" x14ac:dyDescent="0.35">
      <c r="A152" s="111" t="s">
        <v>24</v>
      </c>
      <c r="B152" s="31" t="s">
        <v>68</v>
      </c>
      <c r="C152" s="77">
        <f>0.5052/252</f>
        <v>2E-3</v>
      </c>
      <c r="D152" s="133">
        <f t="shared" si="1"/>
        <v>6.09</v>
      </c>
    </row>
    <row r="153" spans="1:4" ht="15.75" customHeight="1" outlineLevel="2" x14ac:dyDescent="0.35">
      <c r="A153" s="111" t="s">
        <v>36</v>
      </c>
      <c r="B153" s="61" t="s">
        <v>235</v>
      </c>
      <c r="C153" s="69">
        <f>0.2/252</f>
        <v>8.0000000000000004E-4</v>
      </c>
      <c r="D153" s="133">
        <f t="shared" si="1"/>
        <v>2.4300000000000002</v>
      </c>
    </row>
    <row r="154" spans="1:4" ht="15.75" customHeight="1" outlineLevel="1" x14ac:dyDescent="0.35">
      <c r="A154" s="644" t="s">
        <v>226</v>
      </c>
      <c r="B154" s="645"/>
      <c r="C154" s="30">
        <f>SUM(C148:C153)</f>
        <v>3.6200000000000003E-2</v>
      </c>
      <c r="D154" s="116">
        <f>SUM(D148:D153)</f>
        <v>110.17</v>
      </c>
    </row>
    <row r="155" spans="1:4" ht="15.75" customHeight="1" outlineLevel="1" x14ac:dyDescent="0.35">
      <c r="A155" s="658"/>
      <c r="B155" s="659"/>
      <c r="C155" s="659"/>
      <c r="D155" s="660"/>
    </row>
    <row r="156" spans="1:4" ht="15.75" customHeight="1" outlineLevel="1" x14ac:dyDescent="0.35">
      <c r="A156" s="661" t="s">
        <v>236</v>
      </c>
      <c r="B156" s="666"/>
      <c r="C156" s="30" t="s">
        <v>237</v>
      </c>
      <c r="D156" s="110" t="s">
        <v>35</v>
      </c>
    </row>
    <row r="157" spans="1:4" ht="15.75" customHeight="1" outlineLevel="2" x14ac:dyDescent="0.4">
      <c r="A157" s="667" t="s">
        <v>238</v>
      </c>
      <c r="B157" s="142" t="s">
        <v>239</v>
      </c>
      <c r="C157" s="95">
        <f>C153</f>
        <v>8.0000000000000004E-4</v>
      </c>
      <c r="D157" s="147">
        <f>C157*-D140</f>
        <v>-1.2</v>
      </c>
    </row>
    <row r="158" spans="1:4" ht="15.75" customHeight="1" outlineLevel="2" x14ac:dyDescent="0.4">
      <c r="A158" s="667"/>
      <c r="B158" s="148" t="s">
        <v>240</v>
      </c>
      <c r="C158" s="96">
        <v>0</v>
      </c>
      <c r="D158" s="149">
        <f>C158*-(D140/220/24*5)</f>
        <v>0</v>
      </c>
    </row>
    <row r="159" spans="1:4" ht="15.75" customHeight="1" outlineLevel="2" x14ac:dyDescent="0.4">
      <c r="A159" s="667"/>
      <c r="B159" s="148" t="s">
        <v>241</v>
      </c>
      <c r="C159" s="96">
        <v>0</v>
      </c>
      <c r="D159" s="149">
        <f>C159*-D141</f>
        <v>0</v>
      </c>
    </row>
    <row r="160" spans="1:4" ht="15.75" customHeight="1" outlineLevel="2" x14ac:dyDescent="0.4">
      <c r="A160" s="667"/>
      <c r="B160" s="142" t="s">
        <v>242</v>
      </c>
      <c r="C160" s="95">
        <f>C154</f>
        <v>3.6200000000000003E-2</v>
      </c>
      <c r="D160" s="147">
        <f>C160*-D66</f>
        <v>-4.13</v>
      </c>
    </row>
    <row r="161" spans="1:4" ht="15.75" customHeight="1" outlineLevel="2" x14ac:dyDescent="0.4">
      <c r="A161" s="667"/>
      <c r="B161" s="142" t="s">
        <v>243</v>
      </c>
      <c r="C161" s="95">
        <f>C154</f>
        <v>3.6200000000000003E-2</v>
      </c>
      <c r="D161" s="147">
        <f>C161*-D69</f>
        <v>-10.5</v>
      </c>
    </row>
    <row r="162" spans="1:4" ht="15.75" customHeight="1" outlineLevel="2" x14ac:dyDescent="0.4">
      <c r="A162" s="667"/>
      <c r="B162" s="145" t="s">
        <v>244</v>
      </c>
      <c r="C162" s="95">
        <f>C153</f>
        <v>8.0000000000000004E-4</v>
      </c>
      <c r="D162" s="147">
        <f>C162*-D74</f>
        <v>-0.02</v>
      </c>
    </row>
    <row r="163" spans="1:4" ht="15.75" customHeight="1" outlineLevel="2" x14ac:dyDescent="0.35">
      <c r="A163" s="667"/>
      <c r="B163" s="145" t="s">
        <v>245</v>
      </c>
      <c r="C163" s="97">
        <f>C152</f>
        <v>2E-3</v>
      </c>
      <c r="D163" s="133">
        <f>C163*-SUM(D55:D61)</f>
        <v>-0.95</v>
      </c>
    </row>
    <row r="164" spans="1:4" ht="15.75" customHeight="1" outlineLevel="2" x14ac:dyDescent="0.4">
      <c r="A164" s="667"/>
      <c r="B164" s="142" t="s">
        <v>246</v>
      </c>
      <c r="C164" s="95">
        <f>C153</f>
        <v>8.0000000000000004E-4</v>
      </c>
      <c r="D164" s="147">
        <f>C164*-D142</f>
        <v>-0.53</v>
      </c>
    </row>
    <row r="165" spans="1:4" ht="15.75" customHeight="1" outlineLevel="1" x14ac:dyDescent="0.35">
      <c r="A165" s="644" t="s">
        <v>247</v>
      </c>
      <c r="B165" s="645"/>
      <c r="C165" s="30">
        <f>D165/D140</f>
        <v>-1.15E-2</v>
      </c>
      <c r="D165" s="116">
        <f>SUM(D157:D164)</f>
        <v>-17.329999999999998</v>
      </c>
    </row>
    <row r="166" spans="1:4" ht="15.75" customHeight="1" outlineLevel="1" x14ac:dyDescent="0.35">
      <c r="A166" s="658"/>
      <c r="B166" s="659"/>
      <c r="C166" s="659"/>
      <c r="D166" s="660"/>
    </row>
    <row r="167" spans="1:4" ht="15.75" customHeight="1" outlineLevel="1" x14ac:dyDescent="0.35">
      <c r="A167" s="644" t="s">
        <v>248</v>
      </c>
      <c r="B167" s="645"/>
      <c r="C167" s="30">
        <f>D167/D140</f>
        <v>6.1800000000000001E-2</v>
      </c>
      <c r="D167" s="116">
        <f>D154+D165</f>
        <v>92.84</v>
      </c>
    </row>
    <row r="168" spans="1:4" ht="15.75" customHeight="1" outlineLevel="1" x14ac:dyDescent="0.35">
      <c r="A168" s="658"/>
      <c r="B168" s="659"/>
      <c r="C168" s="659"/>
      <c r="D168" s="660"/>
    </row>
    <row r="169" spans="1:4" ht="15.75" customHeight="1" outlineLevel="1" x14ac:dyDescent="0.35">
      <c r="A169" s="661" t="s">
        <v>249</v>
      </c>
      <c r="B169" s="662"/>
      <c r="C169" s="110" t="s">
        <v>44</v>
      </c>
      <c r="D169" s="110" t="s">
        <v>35</v>
      </c>
    </row>
    <row r="170" spans="1:4" ht="15.75" customHeight="1" outlineLevel="1" x14ac:dyDescent="0.35">
      <c r="A170" s="111" t="s">
        <v>65</v>
      </c>
      <c r="B170" s="31" t="s">
        <v>214</v>
      </c>
      <c r="C170" s="34"/>
      <c r="D170" s="150">
        <f>D138</f>
        <v>156.32</v>
      </c>
    </row>
    <row r="171" spans="1:4" ht="15.75" customHeight="1" outlineLevel="1" x14ac:dyDescent="0.35">
      <c r="A171" s="111" t="s">
        <v>233</v>
      </c>
      <c r="B171" s="31" t="s">
        <v>234</v>
      </c>
      <c r="C171" s="34"/>
      <c r="D171" s="150">
        <f>D167</f>
        <v>92.84</v>
      </c>
    </row>
    <row r="172" spans="1:4" ht="15.75" customHeight="1" x14ac:dyDescent="0.35">
      <c r="A172" s="644" t="s">
        <v>11</v>
      </c>
      <c r="B172" s="657"/>
      <c r="C172" s="645"/>
      <c r="D172" s="119">
        <f>SUM(D170:D171)</f>
        <v>249.16</v>
      </c>
    </row>
    <row r="173" spans="1:4" ht="15.75" customHeight="1" x14ac:dyDescent="0.35">
      <c r="A173" s="658"/>
      <c r="B173" s="659"/>
      <c r="C173" s="659"/>
      <c r="D173" s="660"/>
    </row>
    <row r="174" spans="1:4" ht="15.75" customHeight="1" x14ac:dyDescent="0.35">
      <c r="A174" s="663" t="s">
        <v>69</v>
      </c>
      <c r="B174" s="664"/>
      <c r="C174" s="664"/>
      <c r="D174" s="665"/>
    </row>
    <row r="175" spans="1:4" ht="15.75" customHeight="1" outlineLevel="1" x14ac:dyDescent="0.35">
      <c r="A175" s="658"/>
      <c r="B175" s="659"/>
      <c r="C175" s="659"/>
      <c r="D175" s="660"/>
    </row>
    <row r="176" spans="1:4" ht="15.75" customHeight="1" outlineLevel="1" x14ac:dyDescent="0.35">
      <c r="A176" s="64">
        <v>5</v>
      </c>
      <c r="B176" s="644" t="s">
        <v>250</v>
      </c>
      <c r="C176" s="645"/>
      <c r="D176" s="110" t="s">
        <v>35</v>
      </c>
    </row>
    <row r="177" spans="1:4" ht="15.75" customHeight="1" outlineLevel="1" x14ac:dyDescent="0.35">
      <c r="A177" s="111" t="s">
        <v>36</v>
      </c>
      <c r="B177" s="655" t="s">
        <v>343</v>
      </c>
      <c r="C177" s="656"/>
      <c r="D177" s="133">
        <f>INSUMOS!H12</f>
        <v>25.07</v>
      </c>
    </row>
    <row r="178" spans="1:4" ht="15.75" customHeight="1" outlineLevel="1" x14ac:dyDescent="0.35">
      <c r="A178" s="111" t="s">
        <v>16</v>
      </c>
      <c r="B178" s="655" t="s">
        <v>369</v>
      </c>
      <c r="C178" s="656"/>
      <c r="D178" s="151">
        <f>INSUMOS!H29</f>
        <v>11.34</v>
      </c>
    </row>
    <row r="179" spans="1:4" ht="15.75" customHeight="1" outlineLevel="1" x14ac:dyDescent="0.35">
      <c r="A179" s="111" t="s">
        <v>17</v>
      </c>
      <c r="B179" s="715" t="str">
        <f>INSUMOS!B24</f>
        <v>Celular (exclusivo encarregado)</v>
      </c>
      <c r="C179" s="716"/>
      <c r="D179" s="199">
        <f>INSUMOS!H24</f>
        <v>12.03</v>
      </c>
    </row>
    <row r="180" spans="1:4" ht="15.75" customHeight="1" outlineLevel="1" x14ac:dyDescent="0.35">
      <c r="A180" s="111" t="s">
        <v>19</v>
      </c>
      <c r="B180" s="705" t="s">
        <v>39</v>
      </c>
      <c r="C180" s="706"/>
      <c r="D180" s="130">
        <v>0</v>
      </c>
    </row>
    <row r="181" spans="1:4" ht="15.75" customHeight="1" outlineLevel="1" x14ac:dyDescent="0.35">
      <c r="A181" s="111" t="s">
        <v>22</v>
      </c>
      <c r="B181" s="705" t="s">
        <v>39</v>
      </c>
      <c r="C181" s="706"/>
      <c r="D181" s="130">
        <v>0</v>
      </c>
    </row>
    <row r="182" spans="1:4" ht="15.75" customHeight="1" x14ac:dyDescent="0.35">
      <c r="A182" s="644" t="s">
        <v>11</v>
      </c>
      <c r="B182" s="657"/>
      <c r="C182" s="645"/>
      <c r="D182" s="116">
        <f>SUM(D177:D180)</f>
        <v>48.44</v>
      </c>
    </row>
    <row r="183" spans="1:4" ht="15.75" customHeight="1" x14ac:dyDescent="0.35">
      <c r="A183" s="646"/>
      <c r="B183" s="647"/>
      <c r="C183" s="647"/>
      <c r="D183" s="648"/>
    </row>
    <row r="184" spans="1:4" ht="15.75" customHeight="1" x14ac:dyDescent="0.35">
      <c r="A184" s="649" t="s">
        <v>70</v>
      </c>
      <c r="B184" s="649"/>
      <c r="C184" s="649"/>
      <c r="D184" s="152">
        <f>D39+D83+D126+D172+D182</f>
        <v>3213.69</v>
      </c>
    </row>
    <row r="185" spans="1:4" ht="15.75" customHeight="1" x14ac:dyDescent="0.35">
      <c r="A185" s="650"/>
      <c r="B185" s="650"/>
      <c r="C185" s="650"/>
      <c r="D185" s="650"/>
    </row>
    <row r="186" spans="1:4" ht="15.75" customHeight="1" x14ac:dyDescent="0.35">
      <c r="A186" s="651" t="s">
        <v>71</v>
      </c>
      <c r="B186" s="651"/>
      <c r="C186" s="651"/>
      <c r="D186" s="651"/>
    </row>
    <row r="187" spans="1:4" ht="15.75" customHeight="1" outlineLevel="1" x14ac:dyDescent="0.35">
      <c r="A187" s="652"/>
      <c r="B187" s="653"/>
      <c r="C187" s="653"/>
      <c r="D187" s="654"/>
    </row>
    <row r="188" spans="1:4" ht="15.75" customHeight="1" outlineLevel="1" x14ac:dyDescent="0.35">
      <c r="A188" s="64">
        <v>6</v>
      </c>
      <c r="B188" s="117" t="s">
        <v>72</v>
      </c>
      <c r="C188" s="110" t="s">
        <v>44</v>
      </c>
      <c r="D188" s="110" t="s">
        <v>35</v>
      </c>
    </row>
    <row r="189" spans="1:4" ht="15.75" customHeight="1" outlineLevel="1" x14ac:dyDescent="0.35">
      <c r="A189" s="111" t="s">
        <v>36</v>
      </c>
      <c r="B189" s="31" t="s">
        <v>73</v>
      </c>
      <c r="C189" s="70">
        <f>'SR - ASG int'!C189</f>
        <v>2.6499999999999999E-2</v>
      </c>
      <c r="D189" s="105">
        <f>C189*D184</f>
        <v>85.16</v>
      </c>
    </row>
    <row r="190" spans="1:4" ht="15.75" customHeight="1" outlineLevel="1" x14ac:dyDescent="0.35">
      <c r="A190" s="638" t="s">
        <v>1</v>
      </c>
      <c r="B190" s="639"/>
      <c r="C190" s="643"/>
      <c r="D190" s="105">
        <f>D184+D189</f>
        <v>3298.85</v>
      </c>
    </row>
    <row r="191" spans="1:4" ht="15.75" customHeight="1" outlineLevel="1" x14ac:dyDescent="0.35">
      <c r="A191" s="111" t="s">
        <v>16</v>
      </c>
      <c r="B191" s="31" t="s">
        <v>74</v>
      </c>
      <c r="C191" s="70">
        <f>'SR - ASG int'!C191</f>
        <v>0.1087</v>
      </c>
      <c r="D191" s="105">
        <f>C191*D190</f>
        <v>358.58</v>
      </c>
    </row>
    <row r="192" spans="1:4" ht="15.75" customHeight="1" outlineLevel="1" x14ac:dyDescent="0.35">
      <c r="A192" s="638" t="s">
        <v>1</v>
      </c>
      <c r="B192" s="639"/>
      <c r="C192" s="639"/>
      <c r="D192" s="105">
        <f>D191+D190</f>
        <v>3657.43</v>
      </c>
    </row>
    <row r="193" spans="1:4" ht="15.75" customHeight="1" outlineLevel="1" x14ac:dyDescent="0.35">
      <c r="A193" s="111" t="s">
        <v>17</v>
      </c>
      <c r="B193" s="640" t="s">
        <v>75</v>
      </c>
      <c r="C193" s="641"/>
      <c r="D193" s="642"/>
    </row>
    <row r="194" spans="1:4" ht="15.75" customHeight="1" outlineLevel="1" x14ac:dyDescent="0.35">
      <c r="A194" s="153"/>
      <c r="B194" s="63" t="s">
        <v>76</v>
      </c>
      <c r="C194" s="70">
        <f>'SR - ASG int'!C194</f>
        <v>6.4999999999999997E-3</v>
      </c>
      <c r="D194" s="105">
        <f>(D192/(1-C197)*C194)</f>
        <v>25.33</v>
      </c>
    </row>
    <row r="195" spans="1:4" ht="15.75" customHeight="1" outlineLevel="1" x14ac:dyDescent="0.35">
      <c r="A195" s="153"/>
      <c r="B195" s="63" t="s">
        <v>77</v>
      </c>
      <c r="C195" s="70">
        <f>'SR - ASG int'!C195</f>
        <v>0.03</v>
      </c>
      <c r="D195" s="105">
        <f>(D192/(1-C197)*C195)</f>
        <v>116.91</v>
      </c>
    </row>
    <row r="196" spans="1:4" ht="15.75" customHeight="1" outlineLevel="1" x14ac:dyDescent="0.35">
      <c r="A196" s="153"/>
      <c r="B196" s="63" t="s">
        <v>377</v>
      </c>
      <c r="C196" s="51">
        <v>2.5000000000000001E-2</v>
      </c>
      <c r="D196" s="105">
        <f>(D192/(1-C197)*C196)</f>
        <v>97.43</v>
      </c>
    </row>
    <row r="197" spans="1:4" ht="15.75" customHeight="1" outlineLevel="1" x14ac:dyDescent="0.35">
      <c r="A197" s="638" t="s">
        <v>78</v>
      </c>
      <c r="B197" s="643"/>
      <c r="C197" s="52">
        <f>SUM(C194:C196)</f>
        <v>6.1499999999999999E-2</v>
      </c>
      <c r="D197" s="105">
        <f>SUM(D194:D196)</f>
        <v>239.67</v>
      </c>
    </row>
    <row r="198" spans="1:4" ht="15.75" customHeight="1" x14ac:dyDescent="0.35">
      <c r="A198" s="644" t="s">
        <v>11</v>
      </c>
      <c r="B198" s="645"/>
      <c r="C198" s="53">
        <f>(1+C189)*(1+C191)*(1/(1-C197))-1</f>
        <v>0.2127</v>
      </c>
      <c r="D198" s="108">
        <f>SUM(D197+D189+D191)</f>
        <v>683.41</v>
      </c>
    </row>
    <row r="199" spans="1:4" ht="15.75" customHeight="1" x14ac:dyDescent="0.35">
      <c r="A199" s="646"/>
      <c r="B199" s="647"/>
      <c r="C199" s="647"/>
      <c r="D199" s="648"/>
    </row>
    <row r="200" spans="1:4" ht="15.75" customHeight="1" x14ac:dyDescent="0.35">
      <c r="A200" s="634" t="s">
        <v>79</v>
      </c>
      <c r="B200" s="635"/>
      <c r="C200" s="636"/>
      <c r="D200" s="54" t="s">
        <v>35</v>
      </c>
    </row>
    <row r="201" spans="1:4" ht="15.75" customHeight="1" x14ac:dyDescent="0.35">
      <c r="A201" s="632" t="s">
        <v>80</v>
      </c>
      <c r="B201" s="637"/>
      <c r="C201" s="637"/>
      <c r="D201" s="633"/>
    </row>
    <row r="202" spans="1:4" ht="15.75" customHeight="1" x14ac:dyDescent="0.35">
      <c r="A202" s="65" t="s">
        <v>36</v>
      </c>
      <c r="B202" s="632" t="s">
        <v>81</v>
      </c>
      <c r="C202" s="633"/>
      <c r="D202" s="104">
        <f>D39</f>
        <v>1501.22</v>
      </c>
    </row>
    <row r="203" spans="1:4" ht="15.75" customHeight="1" x14ac:dyDescent="0.35">
      <c r="A203" s="65" t="s">
        <v>16</v>
      </c>
      <c r="B203" s="632" t="s">
        <v>82</v>
      </c>
      <c r="C203" s="633"/>
      <c r="D203" s="104">
        <f>D83</f>
        <v>1290.45</v>
      </c>
    </row>
    <row r="204" spans="1:4" ht="15.75" customHeight="1" x14ac:dyDescent="0.35">
      <c r="A204" s="65" t="s">
        <v>17</v>
      </c>
      <c r="B204" s="632" t="s">
        <v>83</v>
      </c>
      <c r="C204" s="633"/>
      <c r="D204" s="104">
        <f>D126</f>
        <v>124.42</v>
      </c>
    </row>
    <row r="205" spans="1:4" ht="15.75" customHeight="1" x14ac:dyDescent="0.35">
      <c r="A205" s="65" t="s">
        <v>19</v>
      </c>
      <c r="B205" s="632" t="s">
        <v>84</v>
      </c>
      <c r="C205" s="633"/>
      <c r="D205" s="104">
        <f>D172</f>
        <v>249.16</v>
      </c>
    </row>
    <row r="206" spans="1:4" ht="15.75" customHeight="1" x14ac:dyDescent="0.35">
      <c r="A206" s="65" t="s">
        <v>22</v>
      </c>
      <c r="B206" s="632" t="s">
        <v>85</v>
      </c>
      <c r="C206" s="633"/>
      <c r="D206" s="104">
        <f>D182</f>
        <v>48.44</v>
      </c>
    </row>
    <row r="207" spans="1:4" ht="15.75" customHeight="1" x14ac:dyDescent="0.4">
      <c r="A207" s="629" t="s">
        <v>86</v>
      </c>
      <c r="B207" s="630"/>
      <c r="C207" s="631"/>
      <c r="D207" s="104">
        <f>SUM(D202:D206)</f>
        <v>3213.69</v>
      </c>
    </row>
    <row r="208" spans="1:4" ht="15.75" customHeight="1" x14ac:dyDescent="0.35">
      <c r="A208" s="65" t="s">
        <v>87</v>
      </c>
      <c r="B208" s="632" t="s">
        <v>88</v>
      </c>
      <c r="C208" s="633"/>
      <c r="D208" s="104">
        <f>D198</f>
        <v>683.41</v>
      </c>
    </row>
    <row r="209" spans="1:4" ht="15.75" customHeight="1" x14ac:dyDescent="0.35">
      <c r="A209" s="634" t="s">
        <v>89</v>
      </c>
      <c r="B209" s="635"/>
      <c r="C209" s="636"/>
      <c r="D209" s="154">
        <f xml:space="preserve"> D207+D208</f>
        <v>3897.1</v>
      </c>
    </row>
    <row r="210" spans="1:4" ht="15.75" customHeight="1" x14ac:dyDescent="0.4">
      <c r="A210" s="24"/>
      <c r="B210" s="24"/>
      <c r="C210" s="24"/>
      <c r="D210" s="24"/>
    </row>
    <row r="211" spans="1:4" ht="15.75" customHeight="1" thickBot="1" x14ac:dyDescent="0.4">
      <c r="A211" s="17"/>
      <c r="B211" s="17"/>
      <c r="C211" s="17"/>
      <c r="D211" s="17"/>
    </row>
    <row r="212" spans="1:4" ht="15" x14ac:dyDescent="0.35">
      <c r="A212" s="702" t="s">
        <v>274</v>
      </c>
      <c r="B212" s="703"/>
      <c r="C212" s="703"/>
      <c r="D212" s="704"/>
    </row>
    <row r="213" spans="1:4" ht="30" x14ac:dyDescent="0.35">
      <c r="A213" s="170" t="s">
        <v>275</v>
      </c>
      <c r="B213" s="171" t="s">
        <v>281</v>
      </c>
      <c r="C213" s="172" t="s">
        <v>276</v>
      </c>
      <c r="D213" s="173" t="s">
        <v>277</v>
      </c>
    </row>
    <row r="214" spans="1:4" ht="15.75" customHeight="1" thickBot="1" x14ac:dyDescent="0.4">
      <c r="A214" s="174">
        <f>1/10</f>
        <v>0.1</v>
      </c>
      <c r="B214" s="177">
        <f>IF(A214=0,0,1/((C11)/A214))</f>
        <v>4.4694379999999997E-6</v>
      </c>
      <c r="C214" s="175">
        <f>D209</f>
        <v>3897.1</v>
      </c>
      <c r="D214" s="181">
        <f>C214*B214</f>
        <v>1.7417847E-2</v>
      </c>
    </row>
  </sheetData>
  <mergeCells count="107">
    <mergeCell ref="A212:D212"/>
    <mergeCell ref="B181:C181"/>
    <mergeCell ref="A5:D5"/>
    <mergeCell ref="C6:D6"/>
    <mergeCell ref="C7:D7"/>
    <mergeCell ref="C8:D8"/>
    <mergeCell ref="C9:D9"/>
    <mergeCell ref="C10:D10"/>
    <mergeCell ref="A1:D1"/>
    <mergeCell ref="A2:B2"/>
    <mergeCell ref="C2:D2"/>
    <mergeCell ref="A3:B3"/>
    <mergeCell ref="C3:D3"/>
    <mergeCell ref="A4:D4"/>
    <mergeCell ref="C17:D17"/>
    <mergeCell ref="A18:D18"/>
    <mergeCell ref="B19:C19"/>
    <mergeCell ref="B20:C20"/>
    <mergeCell ref="B21:C21"/>
    <mergeCell ref="B22:C22"/>
    <mergeCell ref="C11:D11"/>
    <mergeCell ref="C12:D12"/>
    <mergeCell ref="A13:D13"/>
    <mergeCell ref="A14:D14"/>
    <mergeCell ref="A15:D15"/>
    <mergeCell ref="C16:D16"/>
    <mergeCell ref="A45:B45"/>
    <mergeCell ref="A46:D46"/>
    <mergeCell ref="A47:D47"/>
    <mergeCell ref="A48:D48"/>
    <mergeCell ref="A52:B52"/>
    <mergeCell ref="A53:D53"/>
    <mergeCell ref="A23:D23"/>
    <mergeCell ref="A24:D24"/>
    <mergeCell ref="A25:D25"/>
    <mergeCell ref="B26:C26"/>
    <mergeCell ref="A39:C39"/>
    <mergeCell ref="A40:D40"/>
    <mergeCell ref="A84:D84"/>
    <mergeCell ref="A85:D85"/>
    <mergeCell ref="A86:D86"/>
    <mergeCell ref="A99:B99"/>
    <mergeCell ref="A100:D100"/>
    <mergeCell ref="A111:B111"/>
    <mergeCell ref="A63:B63"/>
    <mergeCell ref="A64:D64"/>
    <mergeCell ref="A77:C77"/>
    <mergeCell ref="A78:D78"/>
    <mergeCell ref="A79:B79"/>
    <mergeCell ref="A83:C83"/>
    <mergeCell ref="A123:B123"/>
    <mergeCell ref="A124:B124"/>
    <mergeCell ref="A126:B126"/>
    <mergeCell ref="A127:D127"/>
    <mergeCell ref="A128:D128"/>
    <mergeCell ref="A129:D129"/>
    <mergeCell ref="A112:D112"/>
    <mergeCell ref="A116:B116"/>
    <mergeCell ref="A117:D117"/>
    <mergeCell ref="A118:B118"/>
    <mergeCell ref="A121:C121"/>
    <mergeCell ref="A122:B122"/>
    <mergeCell ref="A155:D155"/>
    <mergeCell ref="A156:B156"/>
    <mergeCell ref="A157:A164"/>
    <mergeCell ref="A165:B165"/>
    <mergeCell ref="A166:D166"/>
    <mergeCell ref="A167:B167"/>
    <mergeCell ref="A138:B138"/>
    <mergeCell ref="A139:D139"/>
    <mergeCell ref="A140:A144"/>
    <mergeCell ref="A145:B145"/>
    <mergeCell ref="A146:D146"/>
    <mergeCell ref="A154:B154"/>
    <mergeCell ref="B176:C176"/>
    <mergeCell ref="B177:C177"/>
    <mergeCell ref="B178:C178"/>
    <mergeCell ref="B179:C179"/>
    <mergeCell ref="B180:C180"/>
    <mergeCell ref="A182:C182"/>
    <mergeCell ref="A168:D168"/>
    <mergeCell ref="A169:B169"/>
    <mergeCell ref="A172:C172"/>
    <mergeCell ref="A173:D173"/>
    <mergeCell ref="A174:D174"/>
    <mergeCell ref="A175:D175"/>
    <mergeCell ref="A192:C192"/>
    <mergeCell ref="B193:D193"/>
    <mergeCell ref="A197:B197"/>
    <mergeCell ref="A198:B198"/>
    <mergeCell ref="A199:D199"/>
    <mergeCell ref="A200:C200"/>
    <mergeCell ref="A183:D183"/>
    <mergeCell ref="A184:C184"/>
    <mergeCell ref="A185:D185"/>
    <mergeCell ref="A186:D186"/>
    <mergeCell ref="A187:D187"/>
    <mergeCell ref="A190:C190"/>
    <mergeCell ref="A207:C207"/>
    <mergeCell ref="B208:C208"/>
    <mergeCell ref="A209:C209"/>
    <mergeCell ref="A201:D201"/>
    <mergeCell ref="B202:C202"/>
    <mergeCell ref="B203:C203"/>
    <mergeCell ref="B204:C204"/>
    <mergeCell ref="B205:C205"/>
    <mergeCell ref="B206:C206"/>
  </mergeCells>
  <pageMargins left="0.51181102362204722" right="0.51181102362204722" top="0.78740157480314965" bottom="0.78740157480314965" header="0.31496062992125984" footer="0.31496062992125984"/>
  <pageSetup paperSize="9" scale="21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DB9D9C-418B-428C-8FA5-1D463A9485A0}">
  <sheetPr codeName="Planilha9">
    <pageSetUpPr fitToPage="1"/>
  </sheetPr>
  <dimension ref="A1:D215"/>
  <sheetViews>
    <sheetView view="pageBreakPreview" topLeftCell="A196" zoomScale="85" zoomScaleNormal="85" zoomScaleSheetLayoutView="85" workbookViewId="0">
      <selection activeCell="D67" sqref="D67"/>
    </sheetView>
  </sheetViews>
  <sheetFormatPr defaultColWidth="9.1796875" defaultRowHeight="15.75" customHeight="1" outlineLevelRow="3" x14ac:dyDescent="0.35"/>
  <cols>
    <col min="1" max="1" width="16.7265625" customWidth="1"/>
    <col min="2" max="2" width="76.81640625" customWidth="1"/>
    <col min="3" max="3" width="22.81640625" customWidth="1"/>
    <col min="4" max="4" width="23.54296875" customWidth="1"/>
  </cols>
  <sheetData>
    <row r="1" spans="1:4" ht="15.75" customHeight="1" x14ac:dyDescent="0.35">
      <c r="A1" s="683" t="s">
        <v>6</v>
      </c>
      <c r="B1" s="683"/>
      <c r="C1" s="683"/>
      <c r="D1" s="683"/>
    </row>
    <row r="2" spans="1:4" ht="15.75" customHeight="1" x14ac:dyDescent="0.35">
      <c r="A2" s="684" t="s">
        <v>12</v>
      </c>
      <c r="B2" s="684"/>
      <c r="C2" s="685" t="s">
        <v>519</v>
      </c>
      <c r="D2" s="686"/>
    </row>
    <row r="3" spans="1:4" ht="15.75" customHeight="1" x14ac:dyDescent="0.35">
      <c r="A3" s="684" t="s">
        <v>13</v>
      </c>
      <c r="B3" s="684"/>
      <c r="C3" s="685" t="s">
        <v>520</v>
      </c>
      <c r="D3" s="686"/>
    </row>
    <row r="4" spans="1:4" ht="15.75" customHeight="1" x14ac:dyDescent="0.35">
      <c r="A4" s="687"/>
      <c r="B4" s="687"/>
      <c r="C4" s="687"/>
      <c r="D4" s="687"/>
    </row>
    <row r="5" spans="1:4" ht="15.75" customHeight="1" x14ac:dyDescent="0.35">
      <c r="A5" s="687" t="s">
        <v>14</v>
      </c>
      <c r="B5" s="687"/>
      <c r="C5" s="687"/>
      <c r="D5" s="687"/>
    </row>
    <row r="6" spans="1:4" ht="15.75" customHeight="1" x14ac:dyDescent="0.35">
      <c r="A6" s="65" t="s">
        <v>15</v>
      </c>
      <c r="B6" s="63" t="s">
        <v>5</v>
      </c>
      <c r="C6" s="707" t="s">
        <v>144</v>
      </c>
      <c r="D6" s="708"/>
    </row>
    <row r="7" spans="1:4" ht="15.75" customHeight="1" x14ac:dyDescent="0.35">
      <c r="A7" s="65" t="s">
        <v>16</v>
      </c>
      <c r="B7" s="63" t="s">
        <v>4</v>
      </c>
      <c r="C7" s="717" t="s">
        <v>518</v>
      </c>
      <c r="D7" s="690"/>
    </row>
    <row r="8" spans="1:4" ht="15.75" customHeight="1" x14ac:dyDescent="0.35">
      <c r="A8" s="25" t="s">
        <v>17</v>
      </c>
      <c r="B8" s="26" t="s">
        <v>18</v>
      </c>
      <c r="C8" s="709" t="s">
        <v>521</v>
      </c>
      <c r="D8" s="710"/>
    </row>
    <row r="9" spans="1:4" ht="15.75" customHeight="1" x14ac:dyDescent="0.35">
      <c r="A9" s="65" t="s">
        <v>19</v>
      </c>
      <c r="B9" s="63" t="s">
        <v>20</v>
      </c>
      <c r="C9" s="700" t="s">
        <v>21</v>
      </c>
      <c r="D9" s="701"/>
    </row>
    <row r="10" spans="1:4" ht="15.75" customHeight="1" x14ac:dyDescent="0.35">
      <c r="A10" s="65" t="s">
        <v>22</v>
      </c>
      <c r="B10" s="63" t="s">
        <v>23</v>
      </c>
      <c r="C10" s="700" t="s">
        <v>262</v>
      </c>
      <c r="D10" s="701"/>
    </row>
    <row r="11" spans="1:4" ht="15.75" customHeight="1" x14ac:dyDescent="0.35">
      <c r="A11" s="65" t="s">
        <v>24</v>
      </c>
      <c r="B11" s="63" t="s">
        <v>251</v>
      </c>
      <c r="C11" s="718">
        <f>Resumo!F6</f>
        <v>15951.88</v>
      </c>
      <c r="D11" s="719"/>
    </row>
    <row r="12" spans="1:4" ht="15.75" customHeight="1" x14ac:dyDescent="0.35">
      <c r="A12" s="65" t="s">
        <v>25</v>
      </c>
      <c r="B12" s="63" t="s">
        <v>26</v>
      </c>
      <c r="C12" s="693">
        <f>Resumo!I5</f>
        <v>20</v>
      </c>
      <c r="D12" s="694"/>
    </row>
    <row r="13" spans="1:4" ht="15.75" customHeight="1" x14ac:dyDescent="0.35">
      <c r="A13" s="695"/>
      <c r="B13" s="696"/>
      <c r="C13" s="696"/>
      <c r="D13" s="696"/>
    </row>
    <row r="14" spans="1:4" ht="15.75" customHeight="1" x14ac:dyDescent="0.35">
      <c r="A14" s="697" t="s">
        <v>27</v>
      </c>
      <c r="B14" s="698"/>
      <c r="C14" s="698"/>
      <c r="D14" s="699"/>
    </row>
    <row r="15" spans="1:4" ht="15.75" customHeight="1" x14ac:dyDescent="0.35">
      <c r="A15" s="690" t="s">
        <v>28</v>
      </c>
      <c r="B15" s="690"/>
      <c r="C15" s="690"/>
      <c r="D15" s="690"/>
    </row>
    <row r="16" spans="1:4" ht="15.75" customHeight="1" x14ac:dyDescent="0.35">
      <c r="A16" s="65">
        <v>1</v>
      </c>
      <c r="B16" s="63" t="s">
        <v>29</v>
      </c>
      <c r="C16" s="700" t="s">
        <v>266</v>
      </c>
      <c r="D16" s="701" t="s">
        <v>0</v>
      </c>
    </row>
    <row r="17" spans="1:4" ht="15.75" customHeight="1" x14ac:dyDescent="0.35">
      <c r="A17" s="65">
        <v>2</v>
      </c>
      <c r="B17" s="27" t="s">
        <v>30</v>
      </c>
      <c r="C17" s="688" t="s">
        <v>263</v>
      </c>
      <c r="D17" s="689"/>
    </row>
    <row r="18" spans="1:4" ht="15.75" customHeight="1" x14ac:dyDescent="0.35">
      <c r="A18" s="690" t="s">
        <v>31</v>
      </c>
      <c r="B18" s="690"/>
      <c r="C18" s="690"/>
      <c r="D18" s="690"/>
    </row>
    <row r="19" spans="1:4" ht="15.75" customHeight="1" x14ac:dyDescent="0.4">
      <c r="A19" s="65">
        <v>3</v>
      </c>
      <c r="B19" s="632" t="s">
        <v>3</v>
      </c>
      <c r="C19" s="633"/>
      <c r="D19" s="103">
        <f>'SR - ASG int'!D19</f>
        <v>1325</v>
      </c>
    </row>
    <row r="20" spans="1:4" ht="15.75" customHeight="1" x14ac:dyDescent="0.4">
      <c r="A20" s="65">
        <v>4</v>
      </c>
      <c r="B20" s="632" t="s">
        <v>252</v>
      </c>
      <c r="C20" s="633"/>
      <c r="D20" s="155">
        <v>220</v>
      </c>
    </row>
    <row r="21" spans="1:4" ht="15.75" customHeight="1" x14ac:dyDescent="0.35">
      <c r="A21" s="65">
        <v>5</v>
      </c>
      <c r="B21" s="632" t="s">
        <v>32</v>
      </c>
      <c r="C21" s="633"/>
      <c r="D21" s="73" t="s">
        <v>267</v>
      </c>
    </row>
    <row r="22" spans="1:4" ht="15.75" customHeight="1" x14ac:dyDescent="0.35">
      <c r="A22" s="65">
        <v>6</v>
      </c>
      <c r="B22" s="632" t="s">
        <v>2</v>
      </c>
      <c r="C22" s="633"/>
      <c r="D22" s="74">
        <v>44562</v>
      </c>
    </row>
    <row r="23" spans="1:4" ht="15.75" customHeight="1" x14ac:dyDescent="0.35">
      <c r="A23" s="700"/>
      <c r="B23" s="711"/>
      <c r="C23" s="711"/>
      <c r="D23" s="701"/>
    </row>
    <row r="24" spans="1:4" ht="15.75" customHeight="1" x14ac:dyDescent="0.35">
      <c r="A24" s="712" t="s">
        <v>33</v>
      </c>
      <c r="B24" s="712"/>
      <c r="C24" s="712"/>
      <c r="D24" s="712"/>
    </row>
    <row r="25" spans="1:4" ht="15.75" customHeight="1" x14ac:dyDescent="0.35">
      <c r="A25" s="713"/>
      <c r="B25" s="714"/>
      <c r="C25" s="714"/>
      <c r="D25" s="694"/>
    </row>
    <row r="26" spans="1:4" ht="15.75" customHeight="1" x14ac:dyDescent="0.35">
      <c r="A26" s="64">
        <v>1</v>
      </c>
      <c r="B26" s="634" t="s">
        <v>34</v>
      </c>
      <c r="C26" s="636"/>
      <c r="D26" s="64" t="s">
        <v>35</v>
      </c>
    </row>
    <row r="27" spans="1:4" ht="15.75" customHeight="1" outlineLevel="1" x14ac:dyDescent="0.35">
      <c r="A27" s="65" t="s">
        <v>36</v>
      </c>
      <c r="B27" s="63" t="s">
        <v>146</v>
      </c>
      <c r="C27" s="71">
        <f>'SR - ASG int'!C27</f>
        <v>220</v>
      </c>
      <c r="D27" s="104">
        <f>D19/220*C27</f>
        <v>1325</v>
      </c>
    </row>
    <row r="28" spans="1:4" ht="15.75" customHeight="1" outlineLevel="1" x14ac:dyDescent="0.35">
      <c r="A28" s="65" t="s">
        <v>16</v>
      </c>
      <c r="B28" s="63" t="s">
        <v>147</v>
      </c>
      <c r="C28" s="28">
        <v>0</v>
      </c>
      <c r="D28" s="104">
        <f>C28*D27</f>
        <v>0</v>
      </c>
    </row>
    <row r="29" spans="1:4" ht="15.75" customHeight="1" outlineLevel="1" x14ac:dyDescent="0.35">
      <c r="A29" s="65" t="s">
        <v>17</v>
      </c>
      <c r="B29" s="63" t="s">
        <v>38</v>
      </c>
      <c r="C29" s="28">
        <v>0.2</v>
      </c>
      <c r="D29" s="104">
        <v>0</v>
      </c>
    </row>
    <row r="30" spans="1:4" ht="15.75" customHeight="1" outlineLevel="1" x14ac:dyDescent="0.35">
      <c r="A30" s="65" t="s">
        <v>19</v>
      </c>
      <c r="B30" s="63" t="s">
        <v>148</v>
      </c>
      <c r="C30" s="156">
        <v>0</v>
      </c>
      <c r="D30" s="105">
        <f>SUM(D31:D32)</f>
        <v>0</v>
      </c>
    </row>
    <row r="31" spans="1:4" ht="15.75" customHeight="1" outlineLevel="2" x14ac:dyDescent="0.35">
      <c r="A31" s="78" t="s">
        <v>111</v>
      </c>
      <c r="B31" s="63" t="s">
        <v>149</v>
      </c>
      <c r="C31" s="79">
        <v>0.2</v>
      </c>
      <c r="D31" s="105">
        <f>(SUM(D27:D29)/C27)*C31*15*C30</f>
        <v>0</v>
      </c>
    </row>
    <row r="32" spans="1:4" ht="15.75" customHeight="1" outlineLevel="2" x14ac:dyDescent="0.35">
      <c r="A32" s="78" t="s">
        <v>112</v>
      </c>
      <c r="B32" s="63" t="s">
        <v>150</v>
      </c>
      <c r="C32" s="80">
        <f>C30*(60/52.5)/8</f>
        <v>0</v>
      </c>
      <c r="D32" s="105">
        <f>(SUM(D27:D29)/C27)*(C31)*15*C32</f>
        <v>0</v>
      </c>
    </row>
    <row r="33" spans="1:4" ht="15.75" customHeight="1" outlineLevel="1" x14ac:dyDescent="0.35">
      <c r="A33" s="65" t="s">
        <v>22</v>
      </c>
      <c r="B33" s="63" t="s">
        <v>151</v>
      </c>
      <c r="C33" s="28" t="s">
        <v>152</v>
      </c>
      <c r="D33" s="1">
        <f>SUM(D34:D37)</f>
        <v>0</v>
      </c>
    </row>
    <row r="34" spans="1:4" ht="15.75" customHeight="1" outlineLevel="2" x14ac:dyDescent="0.35">
      <c r="A34" s="81" t="s">
        <v>153</v>
      </c>
      <c r="B34" s="82" t="s">
        <v>154</v>
      </c>
      <c r="C34" s="83">
        <v>0</v>
      </c>
      <c r="D34" s="106">
        <f>(SUM($D$27:$D$29)/$C$27)*C34*1.5</f>
        <v>0</v>
      </c>
    </row>
    <row r="35" spans="1:4" ht="15.75" customHeight="1" outlineLevel="2" x14ac:dyDescent="0.35">
      <c r="A35" s="81" t="s">
        <v>155</v>
      </c>
      <c r="B35" s="84" t="s">
        <v>156</v>
      </c>
      <c r="C35" s="85">
        <v>0</v>
      </c>
      <c r="D35" s="106">
        <f>(SUM($D$27:$D$29)/$C$27)*C35*((60/52.5)*1.2*1.5)</f>
        <v>0</v>
      </c>
    </row>
    <row r="36" spans="1:4" ht="15.75" customHeight="1" outlineLevel="2" x14ac:dyDescent="0.35">
      <c r="A36" s="81" t="s">
        <v>157</v>
      </c>
      <c r="B36" s="82" t="s">
        <v>158</v>
      </c>
      <c r="C36" s="86">
        <f>C34*0.1429</f>
        <v>0</v>
      </c>
      <c r="D36" s="106">
        <f>(SUM($D$27:$D$29)/$C$27)*C36*2</f>
        <v>0</v>
      </c>
    </row>
    <row r="37" spans="1:4" ht="15.75" customHeight="1" outlineLevel="2" x14ac:dyDescent="0.35">
      <c r="A37" s="81" t="s">
        <v>159</v>
      </c>
      <c r="B37" s="82" t="s">
        <v>160</v>
      </c>
      <c r="C37" s="86">
        <f>C34*0.1429</f>
        <v>0</v>
      </c>
      <c r="D37" s="106">
        <f>(SUM($D$27:$D$29)/$C$27)*C37*((60/52.5)*1.2*2)</f>
        <v>0</v>
      </c>
    </row>
    <row r="38" spans="1:4" ht="15.75" customHeight="1" outlineLevel="1" x14ac:dyDescent="0.35">
      <c r="A38" s="65" t="s">
        <v>24</v>
      </c>
      <c r="B38" s="55" t="s">
        <v>523</v>
      </c>
      <c r="C38" s="56">
        <v>0</v>
      </c>
      <c r="D38" s="107">
        <v>293.64999999999998</v>
      </c>
    </row>
    <row r="39" spans="1:4" ht="15.75" customHeight="1" x14ac:dyDescent="0.35">
      <c r="A39" s="634" t="s">
        <v>40</v>
      </c>
      <c r="B39" s="635"/>
      <c r="C39" s="636"/>
      <c r="D39" s="108">
        <f>SUM(D27:D30,D33,D38)</f>
        <v>1618.65</v>
      </c>
    </row>
    <row r="40" spans="1:4" ht="15.75" customHeight="1" x14ac:dyDescent="0.35">
      <c r="A40" s="650"/>
      <c r="B40" s="650"/>
      <c r="C40" s="650"/>
      <c r="D40" s="650"/>
    </row>
    <row r="41" spans="1:4" ht="15.75" customHeight="1" outlineLevel="1" x14ac:dyDescent="0.35">
      <c r="A41" s="87" t="s">
        <v>161</v>
      </c>
      <c r="B41" s="109" t="s">
        <v>162</v>
      </c>
      <c r="C41" s="110" t="s">
        <v>163</v>
      </c>
      <c r="D41" s="110" t="s">
        <v>35</v>
      </c>
    </row>
    <row r="42" spans="1:4" ht="15.75" customHeight="1" outlineLevel="1" x14ac:dyDescent="0.35">
      <c r="A42" s="111" t="s">
        <v>36</v>
      </c>
      <c r="B42" s="27" t="s">
        <v>164</v>
      </c>
      <c r="C42" s="88">
        <v>0</v>
      </c>
      <c r="D42" s="112">
        <f>(SUM(D27)/$C$27)*C42*1.5</f>
        <v>0</v>
      </c>
    </row>
    <row r="43" spans="1:4" ht="15.75" customHeight="1" outlineLevel="1" x14ac:dyDescent="0.35">
      <c r="A43" s="113" t="s">
        <v>17</v>
      </c>
      <c r="B43" s="114" t="s">
        <v>165</v>
      </c>
      <c r="C43" s="115">
        <v>0</v>
      </c>
      <c r="D43" s="104">
        <f>C43*177</f>
        <v>0</v>
      </c>
    </row>
    <row r="44" spans="1:4" ht="15.75" customHeight="1" outlineLevel="1" x14ac:dyDescent="0.35">
      <c r="A44" s="65" t="s">
        <v>19</v>
      </c>
      <c r="B44" s="55" t="s">
        <v>39</v>
      </c>
      <c r="C44" s="56">
        <v>0</v>
      </c>
      <c r="D44" s="107">
        <v>0</v>
      </c>
    </row>
    <row r="45" spans="1:4" ht="15.75" customHeight="1" x14ac:dyDescent="0.35">
      <c r="A45" s="644" t="s">
        <v>166</v>
      </c>
      <c r="B45" s="645"/>
      <c r="C45" s="30">
        <f>D45/D39</f>
        <v>0</v>
      </c>
      <c r="D45" s="116">
        <f>SUM(D42:D43)</f>
        <v>0</v>
      </c>
    </row>
    <row r="46" spans="1:4" ht="15.75" customHeight="1" x14ac:dyDescent="0.35">
      <c r="A46" s="646"/>
      <c r="B46" s="647"/>
      <c r="C46" s="647"/>
      <c r="D46" s="648"/>
    </row>
    <row r="47" spans="1:4" ht="15.75" customHeight="1" x14ac:dyDescent="0.35">
      <c r="A47" s="663" t="s">
        <v>41</v>
      </c>
      <c r="B47" s="664"/>
      <c r="C47" s="664"/>
      <c r="D47" s="665"/>
    </row>
    <row r="48" spans="1:4" ht="15.75" customHeight="1" outlineLevel="1" x14ac:dyDescent="0.35">
      <c r="A48" s="646"/>
      <c r="B48" s="647"/>
      <c r="C48" s="647"/>
      <c r="D48" s="648"/>
    </row>
    <row r="49" spans="1:4" ht="15.75" customHeight="1" outlineLevel="1" x14ac:dyDescent="0.35">
      <c r="A49" s="110" t="s">
        <v>42</v>
      </c>
      <c r="B49" s="109" t="s">
        <v>43</v>
      </c>
      <c r="C49" s="110" t="s">
        <v>44</v>
      </c>
      <c r="D49" s="110" t="s">
        <v>35</v>
      </c>
    </row>
    <row r="50" spans="1:4" ht="15.75" customHeight="1" outlineLevel="2" x14ac:dyDescent="0.35">
      <c r="A50" s="113" t="s">
        <v>36</v>
      </c>
      <c r="B50" s="114" t="s">
        <v>45</v>
      </c>
      <c r="C50" s="29">
        <f>1/12</f>
        <v>8.3299999999999999E-2</v>
      </c>
      <c r="D50" s="104">
        <f>C50*D39</f>
        <v>134.83000000000001</v>
      </c>
    </row>
    <row r="51" spans="1:4" ht="15.75" customHeight="1" outlineLevel="2" x14ac:dyDescent="0.35">
      <c r="A51" s="113" t="s">
        <v>16</v>
      </c>
      <c r="B51" s="114" t="s">
        <v>113</v>
      </c>
      <c r="C51" s="29">
        <f>IF(C12&gt;60,(1/C12/3)*5,IF(C12&gt;48,(1/C12/3)*4,IF(C12&gt;36,(1/C12/3)*3,IF(C12&gt;24,(1/C12/3)*2,IF(C12&gt;12,(1/C12/3)*1,0)))))</f>
        <v>1.67E-2</v>
      </c>
      <c r="D51" s="104">
        <f>C51*D39</f>
        <v>27.03</v>
      </c>
    </row>
    <row r="52" spans="1:4" ht="15.75" customHeight="1" outlineLevel="1" x14ac:dyDescent="0.35">
      <c r="A52" s="644" t="s">
        <v>11</v>
      </c>
      <c r="B52" s="645"/>
      <c r="C52" s="30">
        <f>SUM(C50:C51)</f>
        <v>0.1</v>
      </c>
      <c r="D52" s="116">
        <f>SUM(D50:D51)</f>
        <v>161.86000000000001</v>
      </c>
    </row>
    <row r="53" spans="1:4" ht="15.75" customHeight="1" outlineLevel="1" x14ac:dyDescent="0.35">
      <c r="A53" s="646"/>
      <c r="B53" s="647"/>
      <c r="C53" s="647"/>
      <c r="D53" s="648"/>
    </row>
    <row r="54" spans="1:4" ht="15.75" customHeight="1" outlineLevel="1" x14ac:dyDescent="0.35">
      <c r="A54" s="110" t="s">
        <v>46</v>
      </c>
      <c r="B54" s="117" t="s">
        <v>47</v>
      </c>
      <c r="C54" s="110" t="s">
        <v>44</v>
      </c>
      <c r="D54" s="118" t="s">
        <v>35</v>
      </c>
    </row>
    <row r="55" spans="1:4" ht="15.75" customHeight="1" outlineLevel="2" x14ac:dyDescent="0.35">
      <c r="A55" s="111" t="s">
        <v>36</v>
      </c>
      <c r="B55" s="31" t="s">
        <v>48</v>
      </c>
      <c r="C55" s="32">
        <v>0.2</v>
      </c>
      <c r="D55" s="104">
        <f t="shared" ref="D55:D62" si="0">C55*($D$39+$D$52)</f>
        <v>356.1</v>
      </c>
    </row>
    <row r="56" spans="1:4" ht="15.75" customHeight="1" outlineLevel="2" x14ac:dyDescent="0.35">
      <c r="A56" s="111" t="s">
        <v>16</v>
      </c>
      <c r="B56" s="31" t="s">
        <v>49</v>
      </c>
      <c r="C56" s="32">
        <v>2.5000000000000001E-2</v>
      </c>
      <c r="D56" s="104">
        <f t="shared" si="0"/>
        <v>44.51</v>
      </c>
    </row>
    <row r="57" spans="1:4" ht="15.75" customHeight="1" outlineLevel="2" x14ac:dyDescent="0.35">
      <c r="A57" s="111" t="s">
        <v>17</v>
      </c>
      <c r="B57" s="31" t="s">
        <v>167</v>
      </c>
      <c r="C57" s="66">
        <v>0.03</v>
      </c>
      <c r="D57" s="104">
        <f t="shared" si="0"/>
        <v>53.42</v>
      </c>
    </row>
    <row r="58" spans="1:4" ht="15.75" customHeight="1" outlineLevel="2" x14ac:dyDescent="0.35">
      <c r="A58" s="111" t="s">
        <v>19</v>
      </c>
      <c r="B58" s="31" t="s">
        <v>168</v>
      </c>
      <c r="C58" s="32">
        <v>1.4999999999999999E-2</v>
      </c>
      <c r="D58" s="104">
        <f t="shared" si="0"/>
        <v>26.71</v>
      </c>
    </row>
    <row r="59" spans="1:4" ht="15.75" customHeight="1" outlineLevel="2" x14ac:dyDescent="0.35">
      <c r="A59" s="111" t="s">
        <v>22</v>
      </c>
      <c r="B59" s="31" t="s">
        <v>169</v>
      </c>
      <c r="C59" s="32">
        <v>0.01</v>
      </c>
      <c r="D59" s="104">
        <f t="shared" si="0"/>
        <v>17.809999999999999</v>
      </c>
    </row>
    <row r="60" spans="1:4" ht="15.75" customHeight="1" outlineLevel="2" x14ac:dyDescent="0.35">
      <c r="A60" s="111" t="s">
        <v>24</v>
      </c>
      <c r="B60" s="31" t="s">
        <v>50</v>
      </c>
      <c r="C60" s="32">
        <v>6.0000000000000001E-3</v>
      </c>
      <c r="D60" s="104">
        <f t="shared" si="0"/>
        <v>10.68</v>
      </c>
    </row>
    <row r="61" spans="1:4" ht="15.75" customHeight="1" outlineLevel="2" x14ac:dyDescent="0.35">
      <c r="A61" s="111" t="s">
        <v>25</v>
      </c>
      <c r="B61" s="31" t="s">
        <v>51</v>
      </c>
      <c r="C61" s="32">
        <v>2E-3</v>
      </c>
      <c r="D61" s="104">
        <f t="shared" si="0"/>
        <v>3.56</v>
      </c>
    </row>
    <row r="62" spans="1:4" ht="15.75" customHeight="1" outlineLevel="2" x14ac:dyDescent="0.35">
      <c r="A62" s="111" t="s">
        <v>52</v>
      </c>
      <c r="B62" s="31" t="s">
        <v>53</v>
      </c>
      <c r="C62" s="32">
        <v>0.08</v>
      </c>
      <c r="D62" s="104">
        <f t="shared" si="0"/>
        <v>142.44</v>
      </c>
    </row>
    <row r="63" spans="1:4" ht="15.75" customHeight="1" outlineLevel="1" x14ac:dyDescent="0.35">
      <c r="A63" s="644" t="s">
        <v>11</v>
      </c>
      <c r="B63" s="645"/>
      <c r="C63" s="33">
        <f>SUM(C55:C62)</f>
        <v>0.36799999999999999</v>
      </c>
      <c r="D63" s="119">
        <f>SUM(D55:D62)</f>
        <v>655.23</v>
      </c>
    </row>
    <row r="64" spans="1:4" ht="15.75" customHeight="1" outlineLevel="1" x14ac:dyDescent="0.35">
      <c r="A64" s="646"/>
      <c r="B64" s="647"/>
      <c r="C64" s="647"/>
      <c r="D64" s="648"/>
    </row>
    <row r="65" spans="1:4" ht="15.75" customHeight="1" outlineLevel="1" x14ac:dyDescent="0.35">
      <c r="A65" s="110" t="s">
        <v>54</v>
      </c>
      <c r="B65" s="117" t="s">
        <v>55</v>
      </c>
      <c r="C65" s="110" t="s">
        <v>56</v>
      </c>
      <c r="D65" s="110" t="s">
        <v>35</v>
      </c>
    </row>
    <row r="66" spans="1:4" ht="15.75" customHeight="1" outlineLevel="2" x14ac:dyDescent="0.35">
      <c r="A66" s="111" t="s">
        <v>36</v>
      </c>
      <c r="B66" s="31" t="s">
        <v>57</v>
      </c>
      <c r="C66" s="120">
        <f>'SR - ASG int'!C66</f>
        <v>4.4000000000000004</v>
      </c>
      <c r="D66" s="121">
        <f>IF(D67+D68&gt;0,(D67+D68),0)</f>
        <v>114.1</v>
      </c>
    </row>
    <row r="67" spans="1:4" ht="15.75" customHeight="1" outlineLevel="3" x14ac:dyDescent="0.35">
      <c r="A67" s="122" t="s">
        <v>110</v>
      </c>
      <c r="B67" s="31" t="s">
        <v>170</v>
      </c>
      <c r="C67" s="123">
        <v>22</v>
      </c>
      <c r="D67" s="124">
        <f>C66*C67*2</f>
        <v>193.6</v>
      </c>
    </row>
    <row r="68" spans="1:4" ht="15.75" customHeight="1" outlineLevel="3" x14ac:dyDescent="0.35">
      <c r="A68" s="122" t="s">
        <v>114</v>
      </c>
      <c r="B68" s="31" t="s">
        <v>171</v>
      </c>
      <c r="C68" s="125">
        <v>0.06</v>
      </c>
      <c r="D68" s="124">
        <f>-D27*C68</f>
        <v>-79.5</v>
      </c>
    </row>
    <row r="69" spans="1:4" ht="15.75" customHeight="1" outlineLevel="2" x14ac:dyDescent="0.35">
      <c r="A69" s="111" t="s">
        <v>16</v>
      </c>
      <c r="B69" s="31" t="s">
        <v>58</v>
      </c>
      <c r="C69" s="382">
        <f>290/22</f>
        <v>13.182</v>
      </c>
      <c r="D69" s="121">
        <f>D70+D71</f>
        <v>290</v>
      </c>
    </row>
    <row r="70" spans="1:4" ht="15.75" customHeight="1" outlineLevel="3" x14ac:dyDescent="0.35">
      <c r="A70" s="122" t="s">
        <v>90</v>
      </c>
      <c r="B70" s="31" t="s">
        <v>172</v>
      </c>
      <c r="C70" s="123">
        <v>22</v>
      </c>
      <c r="D70" s="124">
        <f>C69*C70</f>
        <v>290</v>
      </c>
    </row>
    <row r="71" spans="1:4" ht="15.75" customHeight="1" outlineLevel="3" x14ac:dyDescent="0.35">
      <c r="A71" s="122" t="s">
        <v>115</v>
      </c>
      <c r="B71" s="31" t="s">
        <v>91</v>
      </c>
      <c r="C71" s="127">
        <f>'SR - ASG int'!C71</f>
        <v>0</v>
      </c>
      <c r="D71" s="124">
        <f>D70*C71</f>
        <v>0</v>
      </c>
    </row>
    <row r="72" spans="1:4" ht="15.75" customHeight="1" outlineLevel="2" x14ac:dyDescent="0.35">
      <c r="A72" s="111" t="s">
        <v>17</v>
      </c>
      <c r="B72" s="75" t="s">
        <v>291</v>
      </c>
      <c r="C72" s="126">
        <v>9.6999999999999993</v>
      </c>
      <c r="D72" s="129">
        <f>C72</f>
        <v>9.6999999999999993</v>
      </c>
    </row>
    <row r="73" spans="1:4" ht="15.75" customHeight="1" outlineLevel="2" x14ac:dyDescent="0.35">
      <c r="A73" s="111" t="s">
        <v>19</v>
      </c>
      <c r="B73" s="76" t="s">
        <v>293</v>
      </c>
      <c r="C73" s="126">
        <f>140*3</f>
        <v>420</v>
      </c>
      <c r="D73" s="129">
        <f>C73*C152</f>
        <v>0.84</v>
      </c>
    </row>
    <row r="74" spans="1:4" ht="15.75" customHeight="1" outlineLevel="2" x14ac:dyDescent="0.35">
      <c r="A74" s="111" t="s">
        <v>22</v>
      </c>
      <c r="B74" s="75" t="s">
        <v>292</v>
      </c>
      <c r="C74" s="126">
        <v>21</v>
      </c>
      <c r="D74" s="129">
        <f>C74</f>
        <v>21</v>
      </c>
    </row>
    <row r="75" spans="1:4" ht="15.75" customHeight="1" outlineLevel="2" x14ac:dyDescent="0.35">
      <c r="A75" s="111" t="s">
        <v>24</v>
      </c>
      <c r="B75" s="75" t="s">
        <v>553</v>
      </c>
      <c r="C75" s="128">
        <v>0</v>
      </c>
      <c r="D75" s="129">
        <v>97</v>
      </c>
    </row>
    <row r="76" spans="1:4" ht="15.75" customHeight="1" outlineLevel="2" x14ac:dyDescent="0.35">
      <c r="A76" s="111" t="s">
        <v>25</v>
      </c>
      <c r="B76" s="75" t="s">
        <v>39</v>
      </c>
      <c r="C76" s="126">
        <v>0</v>
      </c>
      <c r="D76" s="130">
        <f>C76</f>
        <v>0</v>
      </c>
    </row>
    <row r="77" spans="1:4" ht="15.75" customHeight="1" outlineLevel="1" x14ac:dyDescent="0.35">
      <c r="A77" s="644" t="s">
        <v>59</v>
      </c>
      <c r="B77" s="657"/>
      <c r="C77" s="645"/>
      <c r="D77" s="116">
        <f>SUM(D66,D69,D72:D76)</f>
        <v>532.64</v>
      </c>
    </row>
    <row r="78" spans="1:4" ht="15.75" customHeight="1" outlineLevel="1" x14ac:dyDescent="0.35">
      <c r="A78" s="646"/>
      <c r="B78" s="647"/>
      <c r="C78" s="647"/>
      <c r="D78" s="648"/>
    </row>
    <row r="79" spans="1:4" ht="15.75" customHeight="1" outlineLevel="1" x14ac:dyDescent="0.35">
      <c r="A79" s="661" t="s">
        <v>60</v>
      </c>
      <c r="B79" s="662"/>
      <c r="C79" s="110" t="s">
        <v>44</v>
      </c>
      <c r="D79" s="110" t="s">
        <v>35</v>
      </c>
    </row>
    <row r="80" spans="1:4" ht="15.75" customHeight="1" outlineLevel="1" x14ac:dyDescent="0.35">
      <c r="A80" s="111" t="s">
        <v>61</v>
      </c>
      <c r="B80" s="31" t="s">
        <v>43</v>
      </c>
      <c r="C80" s="34">
        <f>C52</f>
        <v>0.1</v>
      </c>
      <c r="D80" s="104">
        <f>D52</f>
        <v>161.86000000000001</v>
      </c>
    </row>
    <row r="81" spans="1:4" ht="15.75" customHeight="1" outlineLevel="1" x14ac:dyDescent="0.35">
      <c r="A81" s="111" t="s">
        <v>46</v>
      </c>
      <c r="B81" s="31" t="s">
        <v>47</v>
      </c>
      <c r="C81" s="34">
        <f>C63</f>
        <v>0.36799999999999999</v>
      </c>
      <c r="D81" s="104">
        <f>D63</f>
        <v>655.23</v>
      </c>
    </row>
    <row r="82" spans="1:4" ht="15.75" customHeight="1" outlineLevel="1" x14ac:dyDescent="0.35">
      <c r="A82" s="111" t="s">
        <v>62</v>
      </c>
      <c r="B82" s="31" t="s">
        <v>55</v>
      </c>
      <c r="C82" s="34">
        <f>D77/D39</f>
        <v>0.3291</v>
      </c>
      <c r="D82" s="104">
        <f>D77</f>
        <v>532.64</v>
      </c>
    </row>
    <row r="83" spans="1:4" ht="15.75" customHeight="1" x14ac:dyDescent="0.35">
      <c r="A83" s="644" t="s">
        <v>11</v>
      </c>
      <c r="B83" s="657"/>
      <c r="C83" s="645"/>
      <c r="D83" s="116">
        <f>SUM(D80:D82)</f>
        <v>1349.73</v>
      </c>
    </row>
    <row r="84" spans="1:4" ht="15.75" customHeight="1" x14ac:dyDescent="0.35">
      <c r="A84" s="646"/>
      <c r="B84" s="647"/>
      <c r="C84" s="647"/>
      <c r="D84" s="648"/>
    </row>
    <row r="85" spans="1:4" ht="15.75" customHeight="1" x14ac:dyDescent="0.35">
      <c r="A85" s="680" t="s">
        <v>173</v>
      </c>
      <c r="B85" s="681"/>
      <c r="C85" s="681"/>
      <c r="D85" s="682"/>
    </row>
    <row r="86" spans="1:4" ht="15.75" customHeight="1" outlineLevel="1" x14ac:dyDescent="0.35">
      <c r="A86" s="646"/>
      <c r="B86" s="647"/>
      <c r="C86" s="647"/>
      <c r="D86" s="648"/>
    </row>
    <row r="87" spans="1:4" ht="15.75" customHeight="1" outlineLevel="1" x14ac:dyDescent="0.35">
      <c r="A87" s="64" t="s">
        <v>174</v>
      </c>
      <c r="B87" s="109" t="s">
        <v>175</v>
      </c>
      <c r="C87" s="110" t="s">
        <v>44</v>
      </c>
      <c r="D87" s="110" t="s">
        <v>35</v>
      </c>
    </row>
    <row r="88" spans="1:4" ht="15.75" customHeight="1" outlineLevel="2" x14ac:dyDescent="0.35">
      <c r="A88" s="35" t="s">
        <v>36</v>
      </c>
      <c r="B88" s="36" t="s">
        <v>176</v>
      </c>
      <c r="C88" s="35" t="s">
        <v>152</v>
      </c>
      <c r="D88" s="131">
        <f>IF(C99&gt;1,SUM(D89:D92)*2,SUM(D89:D92))</f>
        <v>2280.9699999999998</v>
      </c>
    </row>
    <row r="89" spans="1:4" ht="15.75" customHeight="1" outlineLevel="3" x14ac:dyDescent="0.35">
      <c r="A89" s="37" t="s">
        <v>177</v>
      </c>
      <c r="B89" s="38" t="s">
        <v>178</v>
      </c>
      <c r="C89" s="35">
        <f>(IF(C12&gt;60,45,IF(C12&gt;48,42,IF(C12&gt;36,39,IF(C12&gt;24,36,IF(C12&gt;12,33,30)))))/30)</f>
        <v>1.1000000000000001</v>
      </c>
      <c r="D89" s="131">
        <f>D39*C89</f>
        <v>1780.52</v>
      </c>
    </row>
    <row r="90" spans="1:4" ht="15.75" customHeight="1" outlineLevel="3" x14ac:dyDescent="0.35">
      <c r="A90" s="37" t="s">
        <v>179</v>
      </c>
      <c r="B90" s="38" t="s">
        <v>180</v>
      </c>
      <c r="C90" s="29">
        <f>1/12</f>
        <v>8.3299999999999999E-2</v>
      </c>
      <c r="D90" s="131">
        <f>C90*D89</f>
        <v>148.32</v>
      </c>
    </row>
    <row r="91" spans="1:4" ht="15.75" customHeight="1" outlineLevel="3" x14ac:dyDescent="0.35">
      <c r="A91" s="37" t="s">
        <v>181</v>
      </c>
      <c r="B91" s="38" t="s">
        <v>182</v>
      </c>
      <c r="C91" s="29">
        <f>(1/12)+(1/12/3)</f>
        <v>0.1111</v>
      </c>
      <c r="D91" s="132">
        <f>C91*D89</f>
        <v>197.82</v>
      </c>
    </row>
    <row r="92" spans="1:4" ht="15.75" customHeight="1" outlineLevel="3" x14ac:dyDescent="0.35">
      <c r="A92" s="37" t="s">
        <v>183</v>
      </c>
      <c r="B92" s="38" t="s">
        <v>184</v>
      </c>
      <c r="C92" s="39">
        <v>0.08</v>
      </c>
      <c r="D92" s="131">
        <f>SUM(D89:D90)*C92</f>
        <v>154.31</v>
      </c>
    </row>
    <row r="93" spans="1:4" ht="15.75" customHeight="1" outlineLevel="2" x14ac:dyDescent="0.35">
      <c r="A93" s="35" t="s">
        <v>16</v>
      </c>
      <c r="B93" s="36" t="s">
        <v>185</v>
      </c>
      <c r="C93" s="40">
        <v>0.4</v>
      </c>
      <c r="D93" s="131">
        <f>C93*D94</f>
        <v>1141.26</v>
      </c>
    </row>
    <row r="94" spans="1:4" ht="15.75" customHeight="1" outlineLevel="3" x14ac:dyDescent="0.35">
      <c r="A94" s="35" t="s">
        <v>186</v>
      </c>
      <c r="B94" s="36" t="s">
        <v>187</v>
      </c>
      <c r="C94" s="40">
        <f>C62</f>
        <v>0.08</v>
      </c>
      <c r="D94" s="131">
        <f>C94*D95</f>
        <v>2853.14</v>
      </c>
    </row>
    <row r="95" spans="1:4" ht="15.75" customHeight="1" outlineLevel="3" x14ac:dyDescent="0.35">
      <c r="A95" s="35" t="s">
        <v>188</v>
      </c>
      <c r="B95" s="41" t="s">
        <v>116</v>
      </c>
      <c r="C95" s="42" t="s">
        <v>152</v>
      </c>
      <c r="D95" s="132">
        <f>SUM(D96:D98)</f>
        <v>35664.26</v>
      </c>
    </row>
    <row r="96" spans="1:4" ht="15.75" customHeight="1" outlineLevel="3" x14ac:dyDescent="0.35">
      <c r="A96" s="37" t="s">
        <v>189</v>
      </c>
      <c r="B96" s="38" t="s">
        <v>190</v>
      </c>
      <c r="C96" s="43">
        <f>C12-C98</f>
        <v>19</v>
      </c>
      <c r="D96" s="131">
        <f>D39*C96</f>
        <v>30754.35</v>
      </c>
    </row>
    <row r="97" spans="1:4" ht="15.75" customHeight="1" outlineLevel="3" x14ac:dyDescent="0.35">
      <c r="A97" s="37" t="s">
        <v>191</v>
      </c>
      <c r="B97" s="38" t="s">
        <v>192</v>
      </c>
      <c r="C97" s="44">
        <f>C12/12</f>
        <v>1.7</v>
      </c>
      <c r="D97" s="131">
        <f>D39*C97</f>
        <v>2751.71</v>
      </c>
    </row>
    <row r="98" spans="1:4" ht="15.75" customHeight="1" outlineLevel="3" x14ac:dyDescent="0.35">
      <c r="A98" s="37" t="s">
        <v>193</v>
      </c>
      <c r="B98" s="38" t="s">
        <v>194</v>
      </c>
      <c r="C98" s="42">
        <f>IF(C12&gt;60,5,IF(C12&gt;48,4,IF(C12&gt;36,3,IF(C12&gt;24,2,IF(C12&gt;12,1,0)))))</f>
        <v>1</v>
      </c>
      <c r="D98" s="132">
        <f>D39*C98*1.33333333333333</f>
        <v>2158.1999999999998</v>
      </c>
    </row>
    <row r="99" spans="1:4" ht="15.75" customHeight="1" outlineLevel="1" x14ac:dyDescent="0.35">
      <c r="A99" s="644" t="s">
        <v>11</v>
      </c>
      <c r="B99" s="645"/>
      <c r="C99" s="67">
        <f>'SR - ASG int'!C99</f>
        <v>5.5500000000000001E-2</v>
      </c>
      <c r="D99" s="116">
        <f>IF(C99&gt;1,D88+D93,(D88+D93)*C99)</f>
        <v>189.93</v>
      </c>
    </row>
    <row r="100" spans="1:4" ht="15.75" customHeight="1" outlineLevel="1" x14ac:dyDescent="0.35">
      <c r="A100" s="658"/>
      <c r="B100" s="659"/>
      <c r="C100" s="659"/>
      <c r="D100" s="660"/>
    </row>
    <row r="101" spans="1:4" ht="15.75" customHeight="1" outlineLevel="1" x14ac:dyDescent="0.35">
      <c r="A101" s="64" t="s">
        <v>195</v>
      </c>
      <c r="B101" s="109" t="s">
        <v>196</v>
      </c>
      <c r="C101" s="110" t="s">
        <v>44</v>
      </c>
      <c r="D101" s="110" t="s">
        <v>35</v>
      </c>
    </row>
    <row r="102" spans="1:4" ht="15.75" customHeight="1" outlineLevel="2" x14ac:dyDescent="0.35">
      <c r="A102" s="35" t="s">
        <v>36</v>
      </c>
      <c r="B102" s="41" t="s">
        <v>197</v>
      </c>
      <c r="C102" s="45">
        <f>IF(C111&gt;1,(1/30*7)*2,(1/30*7))</f>
        <v>0.23330000000000001</v>
      </c>
      <c r="D102" s="132">
        <f>C102*SUM(D103:D107)</f>
        <v>725.85</v>
      </c>
    </row>
    <row r="103" spans="1:4" ht="15.75" customHeight="1" outlineLevel="3" x14ac:dyDescent="0.35">
      <c r="A103" s="37" t="s">
        <v>177</v>
      </c>
      <c r="B103" s="38" t="s">
        <v>198</v>
      </c>
      <c r="C103" s="35">
        <v>1</v>
      </c>
      <c r="D103" s="131">
        <f>D39</f>
        <v>1618.65</v>
      </c>
    </row>
    <row r="104" spans="1:4" ht="15.75" customHeight="1" outlineLevel="3" x14ac:dyDescent="0.35">
      <c r="A104" s="37" t="s">
        <v>179</v>
      </c>
      <c r="B104" s="38" t="s">
        <v>199</v>
      </c>
      <c r="C104" s="29">
        <f>1/12</f>
        <v>8.3299999999999999E-2</v>
      </c>
      <c r="D104" s="131">
        <f>C104*D103</f>
        <v>134.83000000000001</v>
      </c>
    </row>
    <row r="105" spans="1:4" ht="15.75" customHeight="1" outlineLevel="3" x14ac:dyDescent="0.35">
      <c r="A105" s="37" t="s">
        <v>181</v>
      </c>
      <c r="B105" s="38" t="s">
        <v>200</v>
      </c>
      <c r="C105" s="29">
        <f>(1/12)+(1/12/3)</f>
        <v>0.1111</v>
      </c>
      <c r="D105" s="131">
        <f>C105*D103</f>
        <v>179.83</v>
      </c>
    </row>
    <row r="106" spans="1:4" ht="15.75" customHeight="1" outlineLevel="3" x14ac:dyDescent="0.35">
      <c r="A106" s="37" t="s">
        <v>183</v>
      </c>
      <c r="B106" s="46" t="s">
        <v>63</v>
      </c>
      <c r="C106" s="47">
        <f>C63</f>
        <v>0.36799999999999999</v>
      </c>
      <c r="D106" s="132">
        <f>C106*(D103+D104)</f>
        <v>645.28</v>
      </c>
    </row>
    <row r="107" spans="1:4" ht="15.75" customHeight="1" outlineLevel="3" x14ac:dyDescent="0.35">
      <c r="A107" s="37" t="s">
        <v>201</v>
      </c>
      <c r="B107" s="46" t="s">
        <v>202</v>
      </c>
      <c r="C107" s="42">
        <v>1</v>
      </c>
      <c r="D107" s="132">
        <f>D77</f>
        <v>532.64</v>
      </c>
    </row>
    <row r="108" spans="1:4" ht="15.75" customHeight="1" outlineLevel="2" x14ac:dyDescent="0.35">
      <c r="A108" s="35" t="s">
        <v>16</v>
      </c>
      <c r="B108" s="36" t="s">
        <v>203</v>
      </c>
      <c r="C108" s="40">
        <v>0.4</v>
      </c>
      <c r="D108" s="131">
        <f>C108*D109</f>
        <v>1141.26</v>
      </c>
    </row>
    <row r="109" spans="1:4" ht="15.75" customHeight="1" outlineLevel="2" x14ac:dyDescent="0.35">
      <c r="A109" s="35" t="s">
        <v>186</v>
      </c>
      <c r="B109" s="36" t="s">
        <v>187</v>
      </c>
      <c r="C109" s="40">
        <f>C62</f>
        <v>0.08</v>
      </c>
      <c r="D109" s="131">
        <f>C109*D110</f>
        <v>2853.14</v>
      </c>
    </row>
    <row r="110" spans="1:4" ht="15.75" customHeight="1" outlineLevel="2" x14ac:dyDescent="0.35">
      <c r="A110" s="35" t="s">
        <v>188</v>
      </c>
      <c r="B110" s="41" t="s">
        <v>116</v>
      </c>
      <c r="C110" s="42" t="s">
        <v>152</v>
      </c>
      <c r="D110" s="132">
        <f>D95</f>
        <v>35664.26</v>
      </c>
    </row>
    <row r="111" spans="1:4" ht="15.75" customHeight="1" outlineLevel="1" x14ac:dyDescent="0.35">
      <c r="A111" s="644" t="s">
        <v>11</v>
      </c>
      <c r="B111" s="645"/>
      <c r="C111" s="67">
        <f>'SR - ASG int'!C111</f>
        <v>0.94450000000000001</v>
      </c>
      <c r="D111" s="116">
        <f>IF(C111&gt;1,D102+D108,(D102+D108)*C111)</f>
        <v>1763.49</v>
      </c>
    </row>
    <row r="112" spans="1:4" ht="15.75" customHeight="1" outlineLevel="1" x14ac:dyDescent="0.35">
      <c r="A112" s="658"/>
      <c r="B112" s="659"/>
      <c r="C112" s="659"/>
      <c r="D112" s="660"/>
    </row>
    <row r="113" spans="1:4" ht="15.75" customHeight="1" outlineLevel="1" x14ac:dyDescent="0.35">
      <c r="A113" s="64" t="s">
        <v>204</v>
      </c>
      <c r="B113" s="109" t="s">
        <v>205</v>
      </c>
      <c r="C113" s="110" t="s">
        <v>44</v>
      </c>
      <c r="D113" s="110" t="s">
        <v>35</v>
      </c>
    </row>
    <row r="114" spans="1:4" ht="15.75" customHeight="1" outlineLevel="2" x14ac:dyDescent="0.35">
      <c r="A114" s="111" t="s">
        <v>36</v>
      </c>
      <c r="B114" s="31" t="s">
        <v>206</v>
      </c>
      <c r="C114" s="34">
        <f>IF(C12&gt;60,(D39/12*(C12-60))/C12/D39,IF(C12&gt;48,(D39/12*(C12-48))/C12/D39,IF(C12&gt;36,(D39/12*(C12-36))/C12/D39,IF(C12&gt;24,(D39/12*(C12-24))/C12/D39,IF(C12&gt;12,((D39/12*(C12-12))/C12/D39),1/12)))))</f>
        <v>3.3300000000000003E-2</v>
      </c>
      <c r="D114" s="133">
        <f>C114*D39</f>
        <v>53.9</v>
      </c>
    </row>
    <row r="115" spans="1:4" ht="15.75" customHeight="1" outlineLevel="2" x14ac:dyDescent="0.35">
      <c r="A115" s="111" t="s">
        <v>16</v>
      </c>
      <c r="B115" s="48" t="s">
        <v>207</v>
      </c>
      <c r="C115" s="34">
        <f>C114/3</f>
        <v>1.11E-2</v>
      </c>
      <c r="D115" s="134">
        <f>C115*D39</f>
        <v>17.97</v>
      </c>
    </row>
    <row r="116" spans="1:4" ht="15.75" customHeight="1" outlineLevel="1" x14ac:dyDescent="0.35">
      <c r="A116" s="644" t="s">
        <v>11</v>
      </c>
      <c r="B116" s="645"/>
      <c r="C116" s="30">
        <f>C114+C115</f>
        <v>4.4400000000000002E-2</v>
      </c>
      <c r="D116" s="116">
        <f>SUM(D114:D115)</f>
        <v>71.87</v>
      </c>
    </row>
    <row r="117" spans="1:4" ht="15.75" customHeight="1" outlineLevel="1" x14ac:dyDescent="0.35">
      <c r="A117" s="658"/>
      <c r="B117" s="659"/>
      <c r="C117" s="659"/>
      <c r="D117" s="660"/>
    </row>
    <row r="118" spans="1:4" ht="15.75" customHeight="1" outlineLevel="1" x14ac:dyDescent="0.35">
      <c r="A118" s="661" t="s">
        <v>208</v>
      </c>
      <c r="B118" s="662"/>
      <c r="C118" s="110" t="s">
        <v>44</v>
      </c>
      <c r="D118" s="110" t="s">
        <v>35</v>
      </c>
    </row>
    <row r="119" spans="1:4" ht="15.75" customHeight="1" outlineLevel="1" x14ac:dyDescent="0.35">
      <c r="A119" s="111" t="s">
        <v>174</v>
      </c>
      <c r="B119" s="31" t="s">
        <v>175</v>
      </c>
      <c r="C119" s="34">
        <f>C99</f>
        <v>5.5500000000000001E-2</v>
      </c>
      <c r="D119" s="104">
        <f>D99</f>
        <v>189.93</v>
      </c>
    </row>
    <row r="120" spans="1:4" ht="15.75" customHeight="1" outlineLevel="1" x14ac:dyDescent="0.35">
      <c r="A120" s="113" t="s">
        <v>195</v>
      </c>
      <c r="B120" s="31" t="s">
        <v>196</v>
      </c>
      <c r="C120" s="49">
        <f>C111</f>
        <v>0.94450000000000001</v>
      </c>
      <c r="D120" s="104">
        <f>D111</f>
        <v>1763.49</v>
      </c>
    </row>
    <row r="121" spans="1:4" ht="15.75" customHeight="1" outlineLevel="1" x14ac:dyDescent="0.35">
      <c r="A121" s="679" t="s">
        <v>209</v>
      </c>
      <c r="B121" s="679"/>
      <c r="C121" s="679"/>
      <c r="D121" s="135">
        <f>D119+D120</f>
        <v>1953.42</v>
      </c>
    </row>
    <row r="122" spans="1:4" ht="15.75" customHeight="1" outlineLevel="1" x14ac:dyDescent="0.35">
      <c r="A122" s="675" t="s">
        <v>210</v>
      </c>
      <c r="B122" s="676"/>
      <c r="C122" s="68">
        <f>'SR - ASG int'!C122</f>
        <v>0.63570000000000004</v>
      </c>
      <c r="D122" s="58">
        <f>C122*D121</f>
        <v>1241.79</v>
      </c>
    </row>
    <row r="123" spans="1:4" ht="15.75" customHeight="1" outlineLevel="1" x14ac:dyDescent="0.35">
      <c r="A123" s="675" t="s">
        <v>211</v>
      </c>
      <c r="B123" s="676"/>
      <c r="C123" s="68">
        <f>'SR - ASG int'!C123</f>
        <v>1.0999999999999999E-2</v>
      </c>
      <c r="D123" s="58">
        <f>(D50+(D116/2))*-C123</f>
        <v>-1.88</v>
      </c>
    </row>
    <row r="124" spans="1:4" ht="15.75" customHeight="1" outlineLevel="1" x14ac:dyDescent="0.35">
      <c r="A124" s="677" t="s">
        <v>212</v>
      </c>
      <c r="B124" s="678"/>
      <c r="C124" s="72">
        <f>1/C12</f>
        <v>0.05</v>
      </c>
      <c r="D124" s="59">
        <f>(D122+D123)*C124</f>
        <v>62</v>
      </c>
    </row>
    <row r="125" spans="1:4" ht="15.75" customHeight="1" outlineLevel="1" x14ac:dyDescent="0.35">
      <c r="A125" s="113" t="s">
        <v>204</v>
      </c>
      <c r="B125" s="31" t="s">
        <v>213</v>
      </c>
      <c r="C125" s="49"/>
      <c r="D125" s="124">
        <f>D116</f>
        <v>71.87</v>
      </c>
    </row>
    <row r="126" spans="1:4" ht="15.75" customHeight="1" x14ac:dyDescent="0.35">
      <c r="A126" s="644" t="s">
        <v>11</v>
      </c>
      <c r="B126" s="645"/>
      <c r="C126" s="30"/>
      <c r="D126" s="136">
        <f>D124+D125</f>
        <v>133.87</v>
      </c>
    </row>
    <row r="127" spans="1:4" ht="15.75" customHeight="1" x14ac:dyDescent="0.35">
      <c r="A127" s="646"/>
      <c r="B127" s="647"/>
      <c r="C127" s="647"/>
      <c r="D127" s="648"/>
    </row>
    <row r="128" spans="1:4" ht="15.75" customHeight="1" x14ac:dyDescent="0.35">
      <c r="A128" s="663" t="s">
        <v>64</v>
      </c>
      <c r="B128" s="664"/>
      <c r="C128" s="664"/>
      <c r="D128" s="665"/>
    </row>
    <row r="129" spans="1:4" ht="15.75" customHeight="1" outlineLevel="1" x14ac:dyDescent="0.35">
      <c r="A129" s="658"/>
      <c r="B129" s="659"/>
      <c r="C129" s="659"/>
      <c r="D129" s="660"/>
    </row>
    <row r="130" spans="1:4" ht="15.75" customHeight="1" outlineLevel="1" x14ac:dyDescent="0.35">
      <c r="A130" s="110" t="s">
        <v>65</v>
      </c>
      <c r="B130" s="117" t="s">
        <v>214</v>
      </c>
      <c r="C130" s="30" t="s">
        <v>44</v>
      </c>
      <c r="D130" s="110" t="s">
        <v>35</v>
      </c>
    </row>
    <row r="131" spans="1:4" ht="15.75" customHeight="1" outlineLevel="2" x14ac:dyDescent="0.35">
      <c r="A131" s="137" t="s">
        <v>36</v>
      </c>
      <c r="B131" s="89" t="s">
        <v>66</v>
      </c>
      <c r="C131" s="50">
        <f>IF(C12&gt;60,5/C12,IF(C12&gt;48,4/C12,IF(C12&gt;36,3/C12,IF(C12&gt;24,2/C12,IF(C12&gt;12,1/C12,0)))))</f>
        <v>0.05</v>
      </c>
      <c r="D131" s="133">
        <f>SUM(D132:D136)</f>
        <v>104.6</v>
      </c>
    </row>
    <row r="132" spans="1:4" ht="15.75" customHeight="1" outlineLevel="3" x14ac:dyDescent="0.35">
      <c r="A132" s="138" t="s">
        <v>215</v>
      </c>
      <c r="B132" s="90" t="s">
        <v>216</v>
      </c>
      <c r="C132" s="139">
        <f>D39</f>
        <v>1618.65</v>
      </c>
      <c r="D132" s="140">
        <f>$C$131*(D39)-($C$131*(D39)*C137/3)</f>
        <v>80.930000000000007</v>
      </c>
    </row>
    <row r="133" spans="1:4" ht="15.75" customHeight="1" outlineLevel="3" x14ac:dyDescent="0.35">
      <c r="A133" s="138" t="s">
        <v>217</v>
      </c>
      <c r="B133" s="90" t="s">
        <v>218</v>
      </c>
      <c r="C133" s="139">
        <f>(D50)</f>
        <v>134.83000000000001</v>
      </c>
      <c r="D133" s="140">
        <f>$C$131*C133-($C$131*C133*C137/3)</f>
        <v>6.74</v>
      </c>
    </row>
    <row r="134" spans="1:4" ht="15.75" customHeight="1" outlineLevel="3" x14ac:dyDescent="0.35">
      <c r="A134" s="138" t="s">
        <v>219</v>
      </c>
      <c r="B134" s="90" t="s">
        <v>220</v>
      </c>
      <c r="C134" s="141">
        <f>(D39/12)+(D51*IF(C12&gt;60,((C12-60)*(1/60))+1,IF(C12&gt;48,((C12-48)*(1/48))+1,IF(C12&gt;36,((C12-36)*(1/36))+1,IF(C12&gt;24,((C12-24)*(1/24))+1,IF(C12&gt;12,((C12-12)*(1/12))+1,1))))))</f>
        <v>179.94</v>
      </c>
      <c r="D134" s="140">
        <f>$C$131*C134-($C$131*C134*C137/3)</f>
        <v>9</v>
      </c>
    </row>
    <row r="135" spans="1:4" ht="15.75" customHeight="1" outlineLevel="3" x14ac:dyDescent="0.35">
      <c r="A135" s="138" t="s">
        <v>221</v>
      </c>
      <c r="B135" s="90" t="s">
        <v>222</v>
      </c>
      <c r="C135" s="91">
        <f>C63</f>
        <v>0.36799999999999999</v>
      </c>
      <c r="D135" s="140">
        <f>SUM(D132:D134)*C131</f>
        <v>4.83</v>
      </c>
    </row>
    <row r="136" spans="1:4" ht="15.75" customHeight="1" outlineLevel="3" x14ac:dyDescent="0.35">
      <c r="A136" s="138" t="s">
        <v>223</v>
      </c>
      <c r="B136" s="90" t="s">
        <v>224</v>
      </c>
      <c r="C136" s="141">
        <f>D124</f>
        <v>62</v>
      </c>
      <c r="D136" s="140">
        <f>C136*C131</f>
        <v>3.1</v>
      </c>
    </row>
    <row r="137" spans="1:4" ht="15.75" customHeight="1" outlineLevel="2" x14ac:dyDescent="0.35">
      <c r="A137" s="111" t="s">
        <v>16</v>
      </c>
      <c r="B137" s="31" t="s">
        <v>225</v>
      </c>
      <c r="C137" s="92">
        <v>0</v>
      </c>
      <c r="D137" s="124">
        <f>$C$131*(D39)*(C137/3)</f>
        <v>0</v>
      </c>
    </row>
    <row r="138" spans="1:4" ht="15.75" customHeight="1" outlineLevel="1" x14ac:dyDescent="0.35">
      <c r="A138" s="644" t="s">
        <v>226</v>
      </c>
      <c r="B138" s="645"/>
      <c r="C138" s="30">
        <f>C131+(D137/D39)</f>
        <v>0.05</v>
      </c>
      <c r="D138" s="116">
        <f>SUM(D131:D137)</f>
        <v>209.2</v>
      </c>
    </row>
    <row r="139" spans="1:4" ht="15.75" customHeight="1" outlineLevel="1" x14ac:dyDescent="0.35">
      <c r="A139" s="658"/>
      <c r="B139" s="659"/>
      <c r="C139" s="659"/>
      <c r="D139" s="660"/>
    </row>
    <row r="140" spans="1:4" ht="15.75" customHeight="1" outlineLevel="2" x14ac:dyDescent="0.35">
      <c r="A140" s="668" t="s">
        <v>227</v>
      </c>
      <c r="B140" s="142" t="s">
        <v>190</v>
      </c>
      <c r="C140" s="93">
        <v>220</v>
      </c>
      <c r="D140" s="143">
        <f>D39</f>
        <v>1618.65</v>
      </c>
    </row>
    <row r="141" spans="1:4" ht="15.75" customHeight="1" outlineLevel="2" x14ac:dyDescent="0.35">
      <c r="A141" s="669"/>
      <c r="B141" s="142" t="s">
        <v>228</v>
      </c>
      <c r="C141" s="50">
        <f>(1+(1/3)+1)/12</f>
        <v>0.19439999999999999</v>
      </c>
      <c r="D141" s="144">
        <f>D140*C141</f>
        <v>314.67</v>
      </c>
    </row>
    <row r="142" spans="1:4" ht="15.75" customHeight="1" outlineLevel="2" x14ac:dyDescent="0.35">
      <c r="A142" s="669"/>
      <c r="B142" s="142" t="s">
        <v>229</v>
      </c>
      <c r="C142" s="50">
        <f>C63</f>
        <v>0.36799999999999999</v>
      </c>
      <c r="D142" s="144">
        <f>(D140+D141)*C142</f>
        <v>711.46</v>
      </c>
    </row>
    <row r="143" spans="1:4" ht="15.75" customHeight="1" outlineLevel="2" x14ac:dyDescent="0.35">
      <c r="A143" s="669"/>
      <c r="B143" s="142" t="s">
        <v>230</v>
      </c>
      <c r="C143" s="50">
        <f>D143/D140</f>
        <v>0.3291</v>
      </c>
      <c r="D143" s="144">
        <f>D77</f>
        <v>532.64</v>
      </c>
    </row>
    <row r="144" spans="1:4" ht="15.75" customHeight="1" outlineLevel="2" x14ac:dyDescent="0.35">
      <c r="A144" s="670"/>
      <c r="B144" s="145" t="s">
        <v>231</v>
      </c>
      <c r="C144" s="50">
        <f>D144/D140</f>
        <v>3.8300000000000001E-2</v>
      </c>
      <c r="D144" s="144">
        <f>D124</f>
        <v>62</v>
      </c>
    </row>
    <row r="145" spans="1:4" ht="15.75" customHeight="1" outlineLevel="2" x14ac:dyDescent="0.35">
      <c r="A145" s="671" t="s">
        <v>232</v>
      </c>
      <c r="B145" s="672"/>
      <c r="C145" s="94">
        <f>D145/D140</f>
        <v>2.0013000000000001</v>
      </c>
      <c r="D145" s="146">
        <f>SUM(D140:D144)</f>
        <v>3239.42</v>
      </c>
    </row>
    <row r="146" spans="1:4" ht="15.75" customHeight="1" outlineLevel="2" x14ac:dyDescent="0.35">
      <c r="A146" s="673"/>
      <c r="B146" s="673"/>
      <c r="C146" s="673"/>
      <c r="D146" s="674"/>
    </row>
    <row r="147" spans="1:4" ht="15.75" customHeight="1" outlineLevel="1" x14ac:dyDescent="0.35">
      <c r="A147" s="110" t="s">
        <v>233</v>
      </c>
      <c r="B147" s="117" t="s">
        <v>234</v>
      </c>
      <c r="C147" s="30" t="s">
        <v>44</v>
      </c>
      <c r="D147" s="110" t="s">
        <v>35</v>
      </c>
    </row>
    <row r="148" spans="1:4" ht="15.75" customHeight="1" outlineLevel="2" x14ac:dyDescent="0.35">
      <c r="A148" s="111" t="s">
        <v>16</v>
      </c>
      <c r="B148" s="31" t="s">
        <v>118</v>
      </c>
      <c r="C148" s="77">
        <f>5/252</f>
        <v>1.9800000000000002E-2</v>
      </c>
      <c r="D148" s="133">
        <f>C148*$D$145</f>
        <v>64.14</v>
      </c>
    </row>
    <row r="149" spans="1:4" ht="15.75" customHeight="1" outlineLevel="2" x14ac:dyDescent="0.35">
      <c r="A149" s="111" t="s">
        <v>17</v>
      </c>
      <c r="B149" s="31" t="s">
        <v>119</v>
      </c>
      <c r="C149" s="77">
        <f>1.383/252</f>
        <v>5.4999999999999997E-3</v>
      </c>
      <c r="D149" s="133">
        <f>C149*$D$145</f>
        <v>17.82</v>
      </c>
    </row>
    <row r="150" spans="1:4" ht="15.75" customHeight="1" outlineLevel="2" x14ac:dyDescent="0.35">
      <c r="A150" s="111" t="s">
        <v>19</v>
      </c>
      <c r="B150" s="31" t="s">
        <v>117</v>
      </c>
      <c r="C150" s="77">
        <f>1.3892/252</f>
        <v>5.4999999999999997E-3</v>
      </c>
      <c r="D150" s="133">
        <f t="shared" ref="D150:D153" si="1">C150*$D$145</f>
        <v>17.82</v>
      </c>
    </row>
    <row r="151" spans="1:4" ht="15.75" customHeight="1" outlineLevel="2" x14ac:dyDescent="0.35">
      <c r="A151" s="111" t="s">
        <v>22</v>
      </c>
      <c r="B151" s="31" t="s">
        <v>67</v>
      </c>
      <c r="C151" s="77">
        <f>0.65/252</f>
        <v>2.5999999999999999E-3</v>
      </c>
      <c r="D151" s="133">
        <f t="shared" si="1"/>
        <v>8.42</v>
      </c>
    </row>
    <row r="152" spans="1:4" ht="15.75" customHeight="1" outlineLevel="2" x14ac:dyDescent="0.35">
      <c r="A152" s="111" t="s">
        <v>24</v>
      </c>
      <c r="B152" s="31" t="s">
        <v>68</v>
      </c>
      <c r="C152" s="77">
        <f>0.5052/252</f>
        <v>2E-3</v>
      </c>
      <c r="D152" s="133">
        <f t="shared" si="1"/>
        <v>6.48</v>
      </c>
    </row>
    <row r="153" spans="1:4" ht="15.75" customHeight="1" outlineLevel="2" x14ac:dyDescent="0.35">
      <c r="A153" s="111" t="s">
        <v>36</v>
      </c>
      <c r="B153" s="61" t="s">
        <v>235</v>
      </c>
      <c r="C153" s="69">
        <f>0.2/252</f>
        <v>8.0000000000000004E-4</v>
      </c>
      <c r="D153" s="133">
        <f t="shared" si="1"/>
        <v>2.59</v>
      </c>
    </row>
    <row r="154" spans="1:4" ht="15.75" customHeight="1" outlineLevel="1" x14ac:dyDescent="0.35">
      <c r="A154" s="644" t="s">
        <v>226</v>
      </c>
      <c r="B154" s="645"/>
      <c r="C154" s="30">
        <f>SUM(C148:C153)</f>
        <v>3.6200000000000003E-2</v>
      </c>
      <c r="D154" s="116">
        <f>SUM(D148:D153)</f>
        <v>117.27</v>
      </c>
    </row>
    <row r="155" spans="1:4" ht="15.75" customHeight="1" outlineLevel="1" x14ac:dyDescent="0.35">
      <c r="A155" s="658"/>
      <c r="B155" s="659"/>
      <c r="C155" s="659"/>
      <c r="D155" s="660"/>
    </row>
    <row r="156" spans="1:4" ht="15.75" customHeight="1" outlineLevel="1" x14ac:dyDescent="0.35">
      <c r="A156" s="661" t="s">
        <v>236</v>
      </c>
      <c r="B156" s="666"/>
      <c r="C156" s="30" t="s">
        <v>237</v>
      </c>
      <c r="D156" s="110" t="s">
        <v>35</v>
      </c>
    </row>
    <row r="157" spans="1:4" ht="15.75" customHeight="1" outlineLevel="2" x14ac:dyDescent="0.4">
      <c r="A157" s="667" t="s">
        <v>238</v>
      </c>
      <c r="B157" s="142" t="s">
        <v>239</v>
      </c>
      <c r="C157" s="95">
        <f>C153</f>
        <v>8.0000000000000004E-4</v>
      </c>
      <c r="D157" s="147">
        <f>C157*-D140</f>
        <v>-1.29</v>
      </c>
    </row>
    <row r="158" spans="1:4" ht="15.75" customHeight="1" outlineLevel="2" x14ac:dyDescent="0.4">
      <c r="A158" s="667"/>
      <c r="B158" s="148" t="s">
        <v>240</v>
      </c>
      <c r="C158" s="96">
        <v>0</v>
      </c>
      <c r="D158" s="149">
        <f>C158*-(D140/220/24*5)</f>
        <v>0</v>
      </c>
    </row>
    <row r="159" spans="1:4" ht="15.75" customHeight="1" outlineLevel="2" x14ac:dyDescent="0.4">
      <c r="A159" s="667"/>
      <c r="B159" s="148" t="s">
        <v>241</v>
      </c>
      <c r="C159" s="96">
        <v>0</v>
      </c>
      <c r="D159" s="149">
        <f>C159*-D141</f>
        <v>0</v>
      </c>
    </row>
    <row r="160" spans="1:4" ht="15.75" customHeight="1" outlineLevel="2" x14ac:dyDescent="0.4">
      <c r="A160" s="667"/>
      <c r="B160" s="142" t="s">
        <v>242</v>
      </c>
      <c r="C160" s="95">
        <f>C154</f>
        <v>3.6200000000000003E-2</v>
      </c>
      <c r="D160" s="147">
        <f>C160*-D66</f>
        <v>-4.13</v>
      </c>
    </row>
    <row r="161" spans="1:4" ht="15.75" customHeight="1" outlineLevel="2" x14ac:dyDescent="0.4">
      <c r="A161" s="667"/>
      <c r="B161" s="142" t="s">
        <v>243</v>
      </c>
      <c r="C161" s="95">
        <f>C154</f>
        <v>3.6200000000000003E-2</v>
      </c>
      <c r="D161" s="147">
        <f>C161*-D69</f>
        <v>-10.5</v>
      </c>
    </row>
    <row r="162" spans="1:4" ht="15.75" customHeight="1" outlineLevel="2" x14ac:dyDescent="0.4">
      <c r="A162" s="667"/>
      <c r="B162" s="145" t="s">
        <v>244</v>
      </c>
      <c r="C162" s="95">
        <f>C153</f>
        <v>8.0000000000000004E-4</v>
      </c>
      <c r="D162" s="147">
        <f>C162*-D74</f>
        <v>-0.02</v>
      </c>
    </row>
    <row r="163" spans="1:4" ht="15.75" customHeight="1" outlineLevel="2" x14ac:dyDescent="0.35">
      <c r="A163" s="667"/>
      <c r="B163" s="145" t="s">
        <v>245</v>
      </c>
      <c r="C163" s="97">
        <f>C152</f>
        <v>2E-3</v>
      </c>
      <c r="D163" s="133">
        <f>C163*-SUM(D55:D61)</f>
        <v>-1.03</v>
      </c>
    </row>
    <row r="164" spans="1:4" ht="15.75" customHeight="1" outlineLevel="2" x14ac:dyDescent="0.4">
      <c r="A164" s="667"/>
      <c r="B164" s="142" t="s">
        <v>246</v>
      </c>
      <c r="C164" s="95">
        <f>C153</f>
        <v>8.0000000000000004E-4</v>
      </c>
      <c r="D164" s="147">
        <f>C164*-D142</f>
        <v>-0.56999999999999995</v>
      </c>
    </row>
    <row r="165" spans="1:4" ht="15.75" customHeight="1" outlineLevel="1" x14ac:dyDescent="0.35">
      <c r="A165" s="644" t="s">
        <v>247</v>
      </c>
      <c r="B165" s="645"/>
      <c r="C165" s="30">
        <f>D165/D140</f>
        <v>-1.0800000000000001E-2</v>
      </c>
      <c r="D165" s="116">
        <f>SUM(D157:D164)</f>
        <v>-17.54</v>
      </c>
    </row>
    <row r="166" spans="1:4" ht="15.75" customHeight="1" outlineLevel="1" x14ac:dyDescent="0.35">
      <c r="A166" s="658"/>
      <c r="B166" s="659"/>
      <c r="C166" s="659"/>
      <c r="D166" s="660"/>
    </row>
    <row r="167" spans="1:4" ht="15.75" customHeight="1" outlineLevel="1" x14ac:dyDescent="0.35">
      <c r="A167" s="644" t="s">
        <v>248</v>
      </c>
      <c r="B167" s="645"/>
      <c r="C167" s="30">
        <f>D167/D140</f>
        <v>6.1600000000000002E-2</v>
      </c>
      <c r="D167" s="116">
        <f>D154+D165</f>
        <v>99.73</v>
      </c>
    </row>
    <row r="168" spans="1:4" ht="15.75" customHeight="1" outlineLevel="1" x14ac:dyDescent="0.35">
      <c r="A168" s="658"/>
      <c r="B168" s="659"/>
      <c r="C168" s="659"/>
      <c r="D168" s="660"/>
    </row>
    <row r="169" spans="1:4" ht="15.75" customHeight="1" outlineLevel="1" x14ac:dyDescent="0.35">
      <c r="A169" s="661" t="s">
        <v>249</v>
      </c>
      <c r="B169" s="662"/>
      <c r="C169" s="110" t="s">
        <v>44</v>
      </c>
      <c r="D169" s="110" t="s">
        <v>35</v>
      </c>
    </row>
    <row r="170" spans="1:4" ht="15.75" customHeight="1" outlineLevel="1" x14ac:dyDescent="0.35">
      <c r="A170" s="111" t="s">
        <v>65</v>
      </c>
      <c r="B170" s="31" t="s">
        <v>214</v>
      </c>
      <c r="C170" s="34"/>
      <c r="D170" s="150">
        <f>D138</f>
        <v>209.2</v>
      </c>
    </row>
    <row r="171" spans="1:4" ht="15.75" customHeight="1" outlineLevel="1" x14ac:dyDescent="0.35">
      <c r="A171" s="111" t="s">
        <v>233</v>
      </c>
      <c r="B171" s="31" t="s">
        <v>234</v>
      </c>
      <c r="C171" s="34"/>
      <c r="D171" s="150">
        <f>D167</f>
        <v>99.73</v>
      </c>
    </row>
    <row r="172" spans="1:4" ht="15.75" customHeight="1" x14ac:dyDescent="0.35">
      <c r="A172" s="644" t="s">
        <v>11</v>
      </c>
      <c r="B172" s="657"/>
      <c r="C172" s="645"/>
      <c r="D172" s="119">
        <f>SUM(D170:D171)</f>
        <v>308.93</v>
      </c>
    </row>
    <row r="173" spans="1:4" ht="15.75" customHeight="1" x14ac:dyDescent="0.35">
      <c r="A173" s="658"/>
      <c r="B173" s="659"/>
      <c r="C173" s="659"/>
      <c r="D173" s="660"/>
    </row>
    <row r="174" spans="1:4" ht="15.75" customHeight="1" x14ac:dyDescent="0.35">
      <c r="A174" s="663" t="s">
        <v>69</v>
      </c>
      <c r="B174" s="664"/>
      <c r="C174" s="664"/>
      <c r="D174" s="665"/>
    </row>
    <row r="175" spans="1:4" ht="15.75" customHeight="1" outlineLevel="1" x14ac:dyDescent="0.35">
      <c r="A175" s="658"/>
      <c r="B175" s="659"/>
      <c r="C175" s="659"/>
      <c r="D175" s="660"/>
    </row>
    <row r="176" spans="1:4" ht="15.75" customHeight="1" outlineLevel="1" x14ac:dyDescent="0.35">
      <c r="A176" s="64">
        <v>5</v>
      </c>
      <c r="B176" s="644" t="s">
        <v>250</v>
      </c>
      <c r="C176" s="645"/>
      <c r="D176" s="110" t="s">
        <v>35</v>
      </c>
    </row>
    <row r="177" spans="1:4" ht="15.75" customHeight="1" outlineLevel="1" x14ac:dyDescent="0.35">
      <c r="A177" s="111" t="s">
        <v>36</v>
      </c>
      <c r="B177" s="655" t="s">
        <v>343</v>
      </c>
      <c r="C177" s="656"/>
      <c r="D177" s="133">
        <f>INSUMOS!H12</f>
        <v>25.07</v>
      </c>
    </row>
    <row r="178" spans="1:4" ht="15.75" customHeight="1" outlineLevel="1" x14ac:dyDescent="0.35">
      <c r="A178" s="111" t="s">
        <v>16</v>
      </c>
      <c r="B178" s="655" t="s">
        <v>369</v>
      </c>
      <c r="C178" s="656"/>
      <c r="D178" s="151">
        <f>INSUMOS!H29</f>
        <v>11.34</v>
      </c>
    </row>
    <row r="179" spans="1:4" ht="15.75" customHeight="1" outlineLevel="1" x14ac:dyDescent="0.35">
      <c r="A179" s="111" t="s">
        <v>17</v>
      </c>
      <c r="B179" s="640" t="s">
        <v>326</v>
      </c>
      <c r="C179" s="642"/>
      <c r="D179" s="151">
        <f>MATERIAIS!F125</f>
        <v>611.75</v>
      </c>
    </row>
    <row r="180" spans="1:4" ht="15.75" customHeight="1" outlineLevel="1" x14ac:dyDescent="0.35">
      <c r="A180" s="111" t="s">
        <v>19</v>
      </c>
      <c r="B180" s="640" t="s">
        <v>325</v>
      </c>
      <c r="C180" s="642"/>
      <c r="D180" s="151">
        <f>EQUIPAMENTOS!G134</f>
        <v>52.07</v>
      </c>
    </row>
    <row r="181" spans="1:4" ht="15.75" customHeight="1" outlineLevel="1" x14ac:dyDescent="0.35">
      <c r="A181" s="111" t="s">
        <v>22</v>
      </c>
      <c r="B181" s="705" t="s">
        <v>39</v>
      </c>
      <c r="C181" s="706"/>
      <c r="D181" s="130">
        <v>0</v>
      </c>
    </row>
    <row r="182" spans="1:4" ht="15.75" customHeight="1" outlineLevel="1" x14ac:dyDescent="0.35">
      <c r="A182" s="111" t="s">
        <v>24</v>
      </c>
      <c r="B182" s="705" t="s">
        <v>39</v>
      </c>
      <c r="C182" s="706"/>
      <c r="D182" s="130">
        <v>0</v>
      </c>
    </row>
    <row r="183" spans="1:4" ht="15.75" customHeight="1" x14ac:dyDescent="0.35">
      <c r="A183" s="644" t="s">
        <v>11</v>
      </c>
      <c r="B183" s="657"/>
      <c r="C183" s="645"/>
      <c r="D183" s="116">
        <f>SUM(D177:D181)</f>
        <v>700.23</v>
      </c>
    </row>
    <row r="184" spans="1:4" ht="15.75" customHeight="1" x14ac:dyDescent="0.35">
      <c r="A184" s="646"/>
      <c r="B184" s="647"/>
      <c r="C184" s="647"/>
      <c r="D184" s="648"/>
    </row>
    <row r="185" spans="1:4" ht="15.75" customHeight="1" x14ac:dyDescent="0.35">
      <c r="A185" s="649" t="s">
        <v>70</v>
      </c>
      <c r="B185" s="649"/>
      <c r="C185" s="649"/>
      <c r="D185" s="152">
        <f>D39+D83+D126+D172+D183</f>
        <v>4111.41</v>
      </c>
    </row>
    <row r="186" spans="1:4" ht="15.75" customHeight="1" x14ac:dyDescent="0.35">
      <c r="A186" s="650"/>
      <c r="B186" s="650"/>
      <c r="C186" s="650"/>
      <c r="D186" s="650"/>
    </row>
    <row r="187" spans="1:4" ht="15.75" customHeight="1" x14ac:dyDescent="0.35">
      <c r="A187" s="651" t="s">
        <v>71</v>
      </c>
      <c r="B187" s="651"/>
      <c r="C187" s="651"/>
      <c r="D187" s="651"/>
    </row>
    <row r="188" spans="1:4" ht="15.75" customHeight="1" outlineLevel="1" x14ac:dyDescent="0.35">
      <c r="A188" s="652"/>
      <c r="B188" s="653"/>
      <c r="C188" s="653"/>
      <c r="D188" s="654"/>
    </row>
    <row r="189" spans="1:4" ht="15.75" customHeight="1" outlineLevel="1" x14ac:dyDescent="0.35">
      <c r="A189" s="64">
        <v>6</v>
      </c>
      <c r="B189" s="117" t="s">
        <v>72</v>
      </c>
      <c r="C189" s="110" t="s">
        <v>44</v>
      </c>
      <c r="D189" s="110" t="s">
        <v>35</v>
      </c>
    </row>
    <row r="190" spans="1:4" ht="15.75" customHeight="1" outlineLevel="1" x14ac:dyDescent="0.35">
      <c r="A190" s="111" t="s">
        <v>36</v>
      </c>
      <c r="B190" s="31" t="s">
        <v>73</v>
      </c>
      <c r="C190" s="70">
        <f>'SR - ASG int'!C189</f>
        <v>2.6499999999999999E-2</v>
      </c>
      <c r="D190" s="105">
        <f>C190*D185</f>
        <v>108.95</v>
      </c>
    </row>
    <row r="191" spans="1:4" ht="15.75" customHeight="1" outlineLevel="1" x14ac:dyDescent="0.35">
      <c r="A191" s="638" t="s">
        <v>1</v>
      </c>
      <c r="B191" s="639"/>
      <c r="C191" s="643"/>
      <c r="D191" s="105">
        <f>D185+D190</f>
        <v>4220.3599999999997</v>
      </c>
    </row>
    <row r="192" spans="1:4" ht="15.75" customHeight="1" outlineLevel="1" x14ac:dyDescent="0.35">
      <c r="A192" s="111" t="s">
        <v>16</v>
      </c>
      <c r="B192" s="31" t="s">
        <v>74</v>
      </c>
      <c r="C192" s="70">
        <f>'SR - ASG int'!C191</f>
        <v>0.1087</v>
      </c>
      <c r="D192" s="105">
        <f>C192*D191</f>
        <v>458.75</v>
      </c>
    </row>
    <row r="193" spans="1:4" ht="15.75" customHeight="1" outlineLevel="1" x14ac:dyDescent="0.35">
      <c r="A193" s="638" t="s">
        <v>1</v>
      </c>
      <c r="B193" s="639"/>
      <c r="C193" s="639"/>
      <c r="D193" s="105">
        <f>D192+D191</f>
        <v>4679.1099999999997</v>
      </c>
    </row>
    <row r="194" spans="1:4" ht="15.75" customHeight="1" outlineLevel="1" x14ac:dyDescent="0.35">
      <c r="A194" s="111" t="s">
        <v>17</v>
      </c>
      <c r="B194" s="640" t="s">
        <v>75</v>
      </c>
      <c r="C194" s="641"/>
      <c r="D194" s="642"/>
    </row>
    <row r="195" spans="1:4" ht="15.75" customHeight="1" outlineLevel="1" x14ac:dyDescent="0.35">
      <c r="A195" s="153"/>
      <c r="B195" s="63" t="s">
        <v>76</v>
      </c>
      <c r="C195" s="70">
        <f>'SR - ASG int'!C194</f>
        <v>6.4999999999999997E-3</v>
      </c>
      <c r="D195" s="105">
        <f>(D193/(1-C198)*C195)</f>
        <v>32.409999999999997</v>
      </c>
    </row>
    <row r="196" spans="1:4" ht="15.75" customHeight="1" outlineLevel="1" x14ac:dyDescent="0.35">
      <c r="A196" s="153"/>
      <c r="B196" s="63" t="s">
        <v>77</v>
      </c>
      <c r="C196" s="70">
        <f>'SR - ASG int'!C195</f>
        <v>0.03</v>
      </c>
      <c r="D196" s="105">
        <f>(D193/(1-C198)*C196)</f>
        <v>149.57</v>
      </c>
    </row>
    <row r="197" spans="1:4" ht="15.75" customHeight="1" outlineLevel="1" x14ac:dyDescent="0.35">
      <c r="A197" s="153"/>
      <c r="B197" s="63" t="s">
        <v>377</v>
      </c>
      <c r="C197" s="51">
        <v>2.5000000000000001E-2</v>
      </c>
      <c r="D197" s="105">
        <f>(D193/(1-C198)*C197)</f>
        <v>124.64</v>
      </c>
    </row>
    <row r="198" spans="1:4" ht="15.75" customHeight="1" outlineLevel="1" x14ac:dyDescent="0.35">
      <c r="A198" s="638" t="s">
        <v>78</v>
      </c>
      <c r="B198" s="643"/>
      <c r="C198" s="52">
        <f>SUM(C195:C197)</f>
        <v>6.1499999999999999E-2</v>
      </c>
      <c r="D198" s="105">
        <f>SUM(D195:D197)</f>
        <v>306.62</v>
      </c>
    </row>
    <row r="199" spans="1:4" ht="15.75" customHeight="1" x14ac:dyDescent="0.35">
      <c r="A199" s="644" t="s">
        <v>11</v>
      </c>
      <c r="B199" s="645"/>
      <c r="C199" s="53">
        <f>(1+C190)*(1+C192)*(1/(1-C198))-1</f>
        <v>0.2127</v>
      </c>
      <c r="D199" s="108">
        <f>SUM(D198+D190+D192)</f>
        <v>874.32</v>
      </c>
    </row>
    <row r="200" spans="1:4" ht="15.75" customHeight="1" x14ac:dyDescent="0.35">
      <c r="A200" s="646"/>
      <c r="B200" s="647"/>
      <c r="C200" s="647"/>
      <c r="D200" s="648"/>
    </row>
    <row r="201" spans="1:4" ht="15.75" customHeight="1" x14ac:dyDescent="0.35">
      <c r="A201" s="634" t="s">
        <v>79</v>
      </c>
      <c r="B201" s="635"/>
      <c r="C201" s="636"/>
      <c r="D201" s="54" t="s">
        <v>35</v>
      </c>
    </row>
    <row r="202" spans="1:4" ht="15.75" customHeight="1" x14ac:dyDescent="0.35">
      <c r="A202" s="632" t="s">
        <v>80</v>
      </c>
      <c r="B202" s="637"/>
      <c r="C202" s="637"/>
      <c r="D202" s="633"/>
    </row>
    <row r="203" spans="1:4" ht="15.75" customHeight="1" x14ac:dyDescent="0.35">
      <c r="A203" s="65" t="s">
        <v>36</v>
      </c>
      <c r="B203" s="632" t="s">
        <v>81</v>
      </c>
      <c r="C203" s="633"/>
      <c r="D203" s="104">
        <f>D39</f>
        <v>1618.65</v>
      </c>
    </row>
    <row r="204" spans="1:4" ht="15.75" customHeight="1" x14ac:dyDescent="0.35">
      <c r="A204" s="65" t="s">
        <v>16</v>
      </c>
      <c r="B204" s="632" t="s">
        <v>82</v>
      </c>
      <c r="C204" s="633"/>
      <c r="D204" s="104">
        <f>D83</f>
        <v>1349.73</v>
      </c>
    </row>
    <row r="205" spans="1:4" ht="15.75" customHeight="1" x14ac:dyDescent="0.35">
      <c r="A205" s="65" t="s">
        <v>17</v>
      </c>
      <c r="B205" s="632" t="s">
        <v>83</v>
      </c>
      <c r="C205" s="633"/>
      <c r="D205" s="104">
        <f>D126</f>
        <v>133.87</v>
      </c>
    </row>
    <row r="206" spans="1:4" ht="15.75" customHeight="1" x14ac:dyDescent="0.35">
      <c r="A206" s="65" t="s">
        <v>19</v>
      </c>
      <c r="B206" s="632" t="s">
        <v>84</v>
      </c>
      <c r="C206" s="633"/>
      <c r="D206" s="104">
        <f>D172</f>
        <v>308.93</v>
      </c>
    </row>
    <row r="207" spans="1:4" ht="15.75" customHeight="1" x14ac:dyDescent="0.35">
      <c r="A207" s="65" t="s">
        <v>22</v>
      </c>
      <c r="B207" s="632" t="s">
        <v>85</v>
      </c>
      <c r="C207" s="633"/>
      <c r="D207" s="104">
        <f>D183</f>
        <v>700.23</v>
      </c>
    </row>
    <row r="208" spans="1:4" ht="15.75" customHeight="1" x14ac:dyDescent="0.4">
      <c r="A208" s="629" t="s">
        <v>86</v>
      </c>
      <c r="B208" s="630"/>
      <c r="C208" s="631"/>
      <c r="D208" s="104">
        <f>SUM(D203:D207)</f>
        <v>4111.41</v>
      </c>
    </row>
    <row r="209" spans="1:4" ht="15.75" customHeight="1" x14ac:dyDescent="0.35">
      <c r="A209" s="65" t="s">
        <v>87</v>
      </c>
      <c r="B209" s="632" t="s">
        <v>88</v>
      </c>
      <c r="C209" s="633"/>
      <c r="D209" s="104">
        <f>D199</f>
        <v>874.32</v>
      </c>
    </row>
    <row r="210" spans="1:4" ht="15.75" customHeight="1" x14ac:dyDescent="0.35">
      <c r="A210" s="634" t="s">
        <v>89</v>
      </c>
      <c r="B210" s="635"/>
      <c r="C210" s="636"/>
      <c r="D210" s="154">
        <f xml:space="preserve"> D208+D209</f>
        <v>4985.7299999999996</v>
      </c>
    </row>
    <row r="211" spans="1:4" ht="15.75" customHeight="1" x14ac:dyDescent="0.4">
      <c r="A211" s="24"/>
      <c r="B211" s="24"/>
      <c r="C211" s="24"/>
      <c r="D211" s="24"/>
    </row>
    <row r="212" spans="1:4" ht="15.75" customHeight="1" thickBot="1" x14ac:dyDescent="0.4">
      <c r="A212" s="17"/>
      <c r="B212" s="17"/>
      <c r="C212" s="17"/>
      <c r="D212" s="17"/>
    </row>
    <row r="213" spans="1:4" ht="15" x14ac:dyDescent="0.35">
      <c r="A213" s="702" t="s">
        <v>274</v>
      </c>
      <c r="B213" s="703"/>
      <c r="C213" s="703"/>
      <c r="D213" s="704"/>
    </row>
    <row r="214" spans="1:4" ht="30" x14ac:dyDescent="0.35">
      <c r="A214" s="170" t="s">
        <v>275</v>
      </c>
      <c r="B214" s="171" t="s">
        <v>278</v>
      </c>
      <c r="C214" s="172" t="s">
        <v>276</v>
      </c>
      <c r="D214" s="173" t="s">
        <v>277</v>
      </c>
    </row>
    <row r="215" spans="1:4" ht="15.5" thickBot="1" x14ac:dyDescent="0.4">
      <c r="A215" s="174">
        <v>2</v>
      </c>
      <c r="B215" s="179">
        <f>IF(A215=0,0,(1/(C11/A215)))</f>
        <v>1.2537707154E-4</v>
      </c>
      <c r="C215" s="175">
        <f>D210</f>
        <v>4985.7299999999996</v>
      </c>
      <c r="D215" s="229">
        <f>C215*B215</f>
        <v>0.6250962269</v>
      </c>
    </row>
  </sheetData>
  <mergeCells count="108">
    <mergeCell ref="A213:D213"/>
    <mergeCell ref="B180:C180"/>
    <mergeCell ref="B181:C181"/>
    <mergeCell ref="A5:D5"/>
    <mergeCell ref="C6:D6"/>
    <mergeCell ref="C7:D7"/>
    <mergeCell ref="C8:D8"/>
    <mergeCell ref="C9:D9"/>
    <mergeCell ref="C10:D10"/>
    <mergeCell ref="B20:C20"/>
    <mergeCell ref="B21:C21"/>
    <mergeCell ref="B22:C22"/>
    <mergeCell ref="A45:B45"/>
    <mergeCell ref="A46:D46"/>
    <mergeCell ref="A47:D47"/>
    <mergeCell ref="A48:D48"/>
    <mergeCell ref="A52:B52"/>
    <mergeCell ref="A53:D53"/>
    <mergeCell ref="A23:D23"/>
    <mergeCell ref="A24:D24"/>
    <mergeCell ref="A25:D25"/>
    <mergeCell ref="B26:C26"/>
    <mergeCell ref="A39:C39"/>
    <mergeCell ref="A40:D40"/>
    <mergeCell ref="A1:D1"/>
    <mergeCell ref="A2:B2"/>
    <mergeCell ref="C2:D2"/>
    <mergeCell ref="A3:B3"/>
    <mergeCell ref="C3:D3"/>
    <mergeCell ref="A4:D4"/>
    <mergeCell ref="C17:D17"/>
    <mergeCell ref="A18:D18"/>
    <mergeCell ref="B19:C19"/>
    <mergeCell ref="C11:D11"/>
    <mergeCell ref="C12:D12"/>
    <mergeCell ref="A13:D13"/>
    <mergeCell ref="A14:D14"/>
    <mergeCell ref="A15:D15"/>
    <mergeCell ref="C16:D16"/>
    <mergeCell ref="A84:D84"/>
    <mergeCell ref="A85:D85"/>
    <mergeCell ref="A86:D86"/>
    <mergeCell ref="A99:B99"/>
    <mergeCell ref="A100:D100"/>
    <mergeCell ref="A111:B111"/>
    <mergeCell ref="A63:B63"/>
    <mergeCell ref="A64:D64"/>
    <mergeCell ref="A77:C77"/>
    <mergeCell ref="A78:D78"/>
    <mergeCell ref="A79:B79"/>
    <mergeCell ref="A83:C83"/>
    <mergeCell ref="A123:B123"/>
    <mergeCell ref="A124:B124"/>
    <mergeCell ref="A126:B126"/>
    <mergeCell ref="A127:D127"/>
    <mergeCell ref="A128:D128"/>
    <mergeCell ref="A129:D129"/>
    <mergeCell ref="A112:D112"/>
    <mergeCell ref="A116:B116"/>
    <mergeCell ref="A117:D117"/>
    <mergeCell ref="A118:B118"/>
    <mergeCell ref="A121:C121"/>
    <mergeCell ref="A122:B122"/>
    <mergeCell ref="A155:D155"/>
    <mergeCell ref="A156:B156"/>
    <mergeCell ref="A157:A164"/>
    <mergeCell ref="A165:B165"/>
    <mergeCell ref="A166:D166"/>
    <mergeCell ref="A167:B167"/>
    <mergeCell ref="A138:B138"/>
    <mergeCell ref="A139:D139"/>
    <mergeCell ref="A140:A144"/>
    <mergeCell ref="A145:B145"/>
    <mergeCell ref="A146:D146"/>
    <mergeCell ref="A154:B154"/>
    <mergeCell ref="B176:C176"/>
    <mergeCell ref="B177:C177"/>
    <mergeCell ref="B178:C178"/>
    <mergeCell ref="B179:C179"/>
    <mergeCell ref="B182:C182"/>
    <mergeCell ref="A183:C183"/>
    <mergeCell ref="A168:D168"/>
    <mergeCell ref="A169:B169"/>
    <mergeCell ref="A172:C172"/>
    <mergeCell ref="A173:D173"/>
    <mergeCell ref="A174:D174"/>
    <mergeCell ref="A175:D175"/>
    <mergeCell ref="A193:C193"/>
    <mergeCell ref="B194:D194"/>
    <mergeCell ref="A198:B198"/>
    <mergeCell ref="A199:B199"/>
    <mergeCell ref="A200:D200"/>
    <mergeCell ref="A201:C201"/>
    <mergeCell ref="A184:D184"/>
    <mergeCell ref="A185:C185"/>
    <mergeCell ref="A186:D186"/>
    <mergeCell ref="A187:D187"/>
    <mergeCell ref="A188:D188"/>
    <mergeCell ref="A191:C191"/>
    <mergeCell ref="A208:C208"/>
    <mergeCell ref="B209:C209"/>
    <mergeCell ref="A210:C210"/>
    <mergeCell ref="A202:D202"/>
    <mergeCell ref="B203:C203"/>
    <mergeCell ref="B204:C204"/>
    <mergeCell ref="B205:C205"/>
    <mergeCell ref="B206:C206"/>
    <mergeCell ref="B207:C207"/>
  </mergeCells>
  <pageMargins left="0.51181102362204722" right="0.51181102362204722" top="0.78740157480314965" bottom="0.78740157480314965" header="0.31496062992125984" footer="0.31496062992125984"/>
  <pageSetup paperSize="9" scale="21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4A40EB-F132-4023-BF3D-51394EB7FB03}">
  <sheetPr codeName="Planilha10">
    <pageSetUpPr fitToPage="1"/>
  </sheetPr>
  <dimension ref="A1:D210"/>
  <sheetViews>
    <sheetView view="pageBreakPreview" topLeftCell="A189" zoomScale="85" zoomScaleNormal="85" zoomScaleSheetLayoutView="85" workbookViewId="0">
      <selection activeCell="D67" sqref="D67"/>
    </sheetView>
  </sheetViews>
  <sheetFormatPr defaultColWidth="9.1796875" defaultRowHeight="15" customHeight="1" outlineLevelRow="3" x14ac:dyDescent="0.35"/>
  <cols>
    <col min="1" max="1" width="16.7265625" customWidth="1"/>
    <col min="2" max="2" width="76.81640625" customWidth="1"/>
    <col min="3" max="3" width="22.81640625" customWidth="1"/>
    <col min="4" max="4" width="23.54296875" customWidth="1"/>
  </cols>
  <sheetData>
    <row r="1" spans="1:4" ht="15" customHeight="1" x14ac:dyDescent="0.35">
      <c r="A1" s="683" t="s">
        <v>6</v>
      </c>
      <c r="B1" s="683"/>
      <c r="C1" s="683"/>
      <c r="D1" s="683"/>
    </row>
    <row r="2" spans="1:4" ht="15" customHeight="1" x14ac:dyDescent="0.35">
      <c r="A2" s="684" t="s">
        <v>12</v>
      </c>
      <c r="B2" s="684"/>
      <c r="C2" s="685" t="s">
        <v>519</v>
      </c>
      <c r="D2" s="686"/>
    </row>
    <row r="3" spans="1:4" ht="15" customHeight="1" x14ac:dyDescent="0.35">
      <c r="A3" s="684" t="s">
        <v>13</v>
      </c>
      <c r="B3" s="684"/>
      <c r="C3" s="685" t="s">
        <v>520</v>
      </c>
      <c r="D3" s="686"/>
    </row>
    <row r="4" spans="1:4" ht="15" customHeight="1" x14ac:dyDescent="0.35">
      <c r="A4" s="687"/>
      <c r="B4" s="687"/>
      <c r="C4" s="687"/>
      <c r="D4" s="687"/>
    </row>
    <row r="5" spans="1:4" ht="15" customHeight="1" x14ac:dyDescent="0.35">
      <c r="A5" s="687" t="s">
        <v>14</v>
      </c>
      <c r="B5" s="687"/>
      <c r="C5" s="687"/>
      <c r="D5" s="687"/>
    </row>
    <row r="6" spans="1:4" ht="15" customHeight="1" x14ac:dyDescent="0.35">
      <c r="A6" s="65" t="s">
        <v>15</v>
      </c>
      <c r="B6" s="63" t="s">
        <v>5</v>
      </c>
      <c r="C6" s="707" t="s">
        <v>144</v>
      </c>
      <c r="D6" s="708"/>
    </row>
    <row r="7" spans="1:4" ht="15" customHeight="1" x14ac:dyDescent="0.35">
      <c r="A7" s="65" t="s">
        <v>16</v>
      </c>
      <c r="B7" s="63" t="s">
        <v>4</v>
      </c>
      <c r="C7" s="717" t="s">
        <v>518</v>
      </c>
      <c r="D7" s="690"/>
    </row>
    <row r="8" spans="1:4" ht="15" customHeight="1" x14ac:dyDescent="0.35">
      <c r="A8" s="25" t="s">
        <v>17</v>
      </c>
      <c r="B8" s="26" t="s">
        <v>18</v>
      </c>
      <c r="C8" s="709" t="s">
        <v>521</v>
      </c>
      <c r="D8" s="710"/>
    </row>
    <row r="9" spans="1:4" ht="15" customHeight="1" x14ac:dyDescent="0.35">
      <c r="A9" s="65" t="s">
        <v>19</v>
      </c>
      <c r="B9" s="63" t="s">
        <v>20</v>
      </c>
      <c r="C9" s="700" t="s">
        <v>21</v>
      </c>
      <c r="D9" s="701"/>
    </row>
    <row r="10" spans="1:4" ht="15" customHeight="1" x14ac:dyDescent="0.35">
      <c r="A10" s="65" t="s">
        <v>22</v>
      </c>
      <c r="B10" s="63" t="s">
        <v>23</v>
      </c>
      <c r="C10" s="700" t="s">
        <v>145</v>
      </c>
      <c r="D10" s="701"/>
    </row>
    <row r="11" spans="1:4" ht="15" customHeight="1" x14ac:dyDescent="0.35">
      <c r="A11" s="65" t="s">
        <v>24</v>
      </c>
      <c r="B11" s="63" t="s">
        <v>251</v>
      </c>
      <c r="C11" s="720">
        <f>Resumo!F7</f>
        <v>1</v>
      </c>
      <c r="D11" s="721"/>
    </row>
    <row r="12" spans="1:4" ht="15" customHeight="1" x14ac:dyDescent="0.35">
      <c r="A12" s="65" t="s">
        <v>25</v>
      </c>
      <c r="B12" s="63" t="s">
        <v>26</v>
      </c>
      <c r="C12" s="693">
        <f>Resumo!I5</f>
        <v>20</v>
      </c>
      <c r="D12" s="694"/>
    </row>
    <row r="13" spans="1:4" ht="15" customHeight="1" x14ac:dyDescent="0.35">
      <c r="A13" s="695"/>
      <c r="B13" s="696"/>
      <c r="C13" s="696"/>
      <c r="D13" s="696"/>
    </row>
    <row r="14" spans="1:4" ht="15" customHeight="1" x14ac:dyDescent="0.35">
      <c r="A14" s="697" t="s">
        <v>27</v>
      </c>
      <c r="B14" s="698"/>
      <c r="C14" s="698"/>
      <c r="D14" s="699"/>
    </row>
    <row r="15" spans="1:4" ht="15" customHeight="1" x14ac:dyDescent="0.35">
      <c r="A15" s="690" t="s">
        <v>28</v>
      </c>
      <c r="B15" s="690"/>
      <c r="C15" s="690"/>
      <c r="D15" s="690"/>
    </row>
    <row r="16" spans="1:4" ht="15" customHeight="1" x14ac:dyDescent="0.35">
      <c r="A16" s="65">
        <v>1</v>
      </c>
      <c r="B16" s="63" t="s">
        <v>29</v>
      </c>
      <c r="C16" s="700" t="s">
        <v>269</v>
      </c>
      <c r="D16" s="701" t="s">
        <v>0</v>
      </c>
    </row>
    <row r="17" spans="1:4" ht="15" customHeight="1" x14ac:dyDescent="0.35">
      <c r="A17" s="65">
        <v>2</v>
      </c>
      <c r="B17" s="27" t="s">
        <v>30</v>
      </c>
      <c r="C17" s="688" t="s">
        <v>264</v>
      </c>
      <c r="D17" s="689"/>
    </row>
    <row r="18" spans="1:4" ht="15" customHeight="1" x14ac:dyDescent="0.35">
      <c r="A18" s="690" t="s">
        <v>31</v>
      </c>
      <c r="B18" s="690"/>
      <c r="C18" s="690"/>
      <c r="D18" s="690"/>
    </row>
    <row r="19" spans="1:4" ht="15" customHeight="1" x14ac:dyDescent="0.4">
      <c r="A19" s="65">
        <v>3</v>
      </c>
      <c r="B19" s="632" t="s">
        <v>3</v>
      </c>
      <c r="C19" s="633"/>
      <c r="D19" s="103">
        <v>1325</v>
      </c>
    </row>
    <row r="20" spans="1:4" ht="15" customHeight="1" x14ac:dyDescent="0.4">
      <c r="A20" s="65">
        <v>4</v>
      </c>
      <c r="B20" s="632" t="s">
        <v>252</v>
      </c>
      <c r="C20" s="633"/>
      <c r="D20" s="155">
        <v>220</v>
      </c>
    </row>
    <row r="21" spans="1:4" ht="15" customHeight="1" x14ac:dyDescent="0.35">
      <c r="A21" s="65">
        <v>5</v>
      </c>
      <c r="B21" s="632" t="s">
        <v>32</v>
      </c>
      <c r="C21" s="633"/>
      <c r="D21" s="73" t="s">
        <v>268</v>
      </c>
    </row>
    <row r="22" spans="1:4" ht="15" customHeight="1" x14ac:dyDescent="0.35">
      <c r="A22" s="65">
        <v>6</v>
      </c>
      <c r="B22" s="632" t="s">
        <v>2</v>
      </c>
      <c r="C22" s="633"/>
      <c r="D22" s="74">
        <v>44927</v>
      </c>
    </row>
    <row r="23" spans="1:4" ht="15" customHeight="1" x14ac:dyDescent="0.35">
      <c r="A23" s="700"/>
      <c r="B23" s="711"/>
      <c r="C23" s="711"/>
      <c r="D23" s="701"/>
    </row>
    <row r="24" spans="1:4" ht="15" customHeight="1" x14ac:dyDescent="0.35">
      <c r="A24" s="712" t="s">
        <v>33</v>
      </c>
      <c r="B24" s="712"/>
      <c r="C24" s="712"/>
      <c r="D24" s="712"/>
    </row>
    <row r="25" spans="1:4" ht="15" customHeight="1" x14ac:dyDescent="0.35">
      <c r="A25" s="713"/>
      <c r="B25" s="714"/>
      <c r="C25" s="714"/>
      <c r="D25" s="694"/>
    </row>
    <row r="26" spans="1:4" ht="15" customHeight="1" x14ac:dyDescent="0.35">
      <c r="A26" s="64">
        <v>1</v>
      </c>
      <c r="B26" s="634" t="s">
        <v>34</v>
      </c>
      <c r="C26" s="636"/>
      <c r="D26" s="64" t="s">
        <v>35</v>
      </c>
    </row>
    <row r="27" spans="1:4" ht="15" customHeight="1" outlineLevel="1" x14ac:dyDescent="0.35">
      <c r="A27" s="65" t="s">
        <v>36</v>
      </c>
      <c r="B27" s="63" t="s">
        <v>146</v>
      </c>
      <c r="C27" s="71">
        <f>'SR - ASG int'!C27</f>
        <v>220</v>
      </c>
      <c r="D27" s="104">
        <v>1325</v>
      </c>
    </row>
    <row r="28" spans="1:4" ht="15" customHeight="1" outlineLevel="1" x14ac:dyDescent="0.35">
      <c r="A28" s="65" t="s">
        <v>16</v>
      </c>
      <c r="B28" s="63" t="s">
        <v>147</v>
      </c>
      <c r="C28" s="28">
        <v>0</v>
      </c>
      <c r="D28" s="104">
        <f>C28*D27</f>
        <v>0</v>
      </c>
    </row>
    <row r="29" spans="1:4" ht="15" customHeight="1" outlineLevel="1" x14ac:dyDescent="0.35">
      <c r="A29" s="65" t="s">
        <v>17</v>
      </c>
      <c r="B29" s="63" t="s">
        <v>38</v>
      </c>
      <c r="C29" s="28">
        <v>0</v>
      </c>
      <c r="D29" s="104">
        <f>C29*D27</f>
        <v>0</v>
      </c>
    </row>
    <row r="30" spans="1:4" ht="15" customHeight="1" outlineLevel="1" x14ac:dyDescent="0.35">
      <c r="A30" s="65" t="s">
        <v>19</v>
      </c>
      <c r="B30" s="63" t="s">
        <v>148</v>
      </c>
      <c r="C30" s="156">
        <v>0</v>
      </c>
      <c r="D30" s="105">
        <f>SUM(D31:D32)</f>
        <v>0</v>
      </c>
    </row>
    <row r="31" spans="1:4" ht="15" customHeight="1" outlineLevel="2" x14ac:dyDescent="0.35">
      <c r="A31" s="78" t="s">
        <v>111</v>
      </c>
      <c r="B31" s="63" t="s">
        <v>149</v>
      </c>
      <c r="C31" s="79">
        <v>0.2</v>
      </c>
      <c r="D31" s="105">
        <f>(SUM(D27:D29)/C27)*C31*15*C30</f>
        <v>0</v>
      </c>
    </row>
    <row r="32" spans="1:4" ht="15" customHeight="1" outlineLevel="2" x14ac:dyDescent="0.35">
      <c r="A32" s="78" t="s">
        <v>112</v>
      </c>
      <c r="B32" s="63" t="s">
        <v>150</v>
      </c>
      <c r="C32" s="80">
        <f>C30*(60/52.5)/8</f>
        <v>0</v>
      </c>
      <c r="D32" s="105">
        <f>(SUM(D27:D29)/C27)*(C31)*15*C32</f>
        <v>0</v>
      </c>
    </row>
    <row r="33" spans="1:4" ht="15" customHeight="1" outlineLevel="1" x14ac:dyDescent="0.35">
      <c r="A33" s="65" t="s">
        <v>22</v>
      </c>
      <c r="B33" s="63" t="s">
        <v>151</v>
      </c>
      <c r="C33" s="28" t="s">
        <v>152</v>
      </c>
      <c r="D33" s="1">
        <f>SUM(D34:D37)</f>
        <v>0</v>
      </c>
    </row>
    <row r="34" spans="1:4" ht="15" customHeight="1" outlineLevel="2" x14ac:dyDescent="0.35">
      <c r="A34" s="81" t="s">
        <v>153</v>
      </c>
      <c r="B34" s="82" t="s">
        <v>154</v>
      </c>
      <c r="C34" s="83">
        <v>0</v>
      </c>
      <c r="D34" s="106">
        <f>(SUM($D$27:$D$29)/$C$27)*C34*1.5</f>
        <v>0</v>
      </c>
    </row>
    <row r="35" spans="1:4" ht="15" customHeight="1" outlineLevel="2" x14ac:dyDescent="0.35">
      <c r="A35" s="81" t="s">
        <v>155</v>
      </c>
      <c r="B35" s="84" t="s">
        <v>156</v>
      </c>
      <c r="C35" s="86">
        <v>0</v>
      </c>
      <c r="D35" s="106">
        <f>(SUM($D$27:$D$29)/$C$27)*C35*((60/52.5)*1.2*1.5)</f>
        <v>0</v>
      </c>
    </row>
    <row r="36" spans="1:4" ht="15" customHeight="1" outlineLevel="2" x14ac:dyDescent="0.35">
      <c r="A36" s="81" t="s">
        <v>157</v>
      </c>
      <c r="B36" s="82" t="s">
        <v>158</v>
      </c>
      <c r="C36" s="86">
        <f>C34*0.1429</f>
        <v>0</v>
      </c>
      <c r="D36" s="106">
        <f>(SUM($D$27:$D$29)/$C$27)*C36*2</f>
        <v>0</v>
      </c>
    </row>
    <row r="37" spans="1:4" ht="15" customHeight="1" outlineLevel="2" x14ac:dyDescent="0.35">
      <c r="A37" s="81" t="s">
        <v>159</v>
      </c>
      <c r="B37" s="82" t="s">
        <v>160</v>
      </c>
      <c r="C37" s="86">
        <f>C34*0.1429</f>
        <v>0</v>
      </c>
      <c r="D37" s="106">
        <f>(SUM($D$27:$D$29)/$C$27)*C37*((60/52.5)*1.2*2)</f>
        <v>0</v>
      </c>
    </row>
    <row r="38" spans="1:4" ht="15" customHeight="1" outlineLevel="1" x14ac:dyDescent="0.35">
      <c r="A38" s="65" t="s">
        <v>24</v>
      </c>
      <c r="B38" s="55" t="s">
        <v>523</v>
      </c>
      <c r="C38" s="56">
        <v>0</v>
      </c>
      <c r="D38" s="107">
        <v>58.67</v>
      </c>
    </row>
    <row r="39" spans="1:4" ht="15" customHeight="1" x14ac:dyDescent="0.35">
      <c r="A39" s="634" t="s">
        <v>40</v>
      </c>
      <c r="B39" s="635"/>
      <c r="C39" s="636"/>
      <c r="D39" s="108">
        <f>SUM(D27:D30,D33,D38)</f>
        <v>1383.67</v>
      </c>
    </row>
    <row r="40" spans="1:4" ht="15" customHeight="1" x14ac:dyDescent="0.35">
      <c r="A40" s="650"/>
      <c r="B40" s="650"/>
      <c r="C40" s="650"/>
      <c r="D40" s="650"/>
    </row>
    <row r="41" spans="1:4" ht="15" customHeight="1" outlineLevel="1" x14ac:dyDescent="0.35">
      <c r="A41" s="87" t="s">
        <v>161</v>
      </c>
      <c r="B41" s="109" t="s">
        <v>162</v>
      </c>
      <c r="C41" s="110" t="s">
        <v>163</v>
      </c>
      <c r="D41" s="110" t="s">
        <v>35</v>
      </c>
    </row>
    <row r="42" spans="1:4" ht="15" customHeight="1" outlineLevel="1" x14ac:dyDescent="0.35">
      <c r="A42" s="111" t="s">
        <v>36</v>
      </c>
      <c r="B42" s="27" t="s">
        <v>164</v>
      </c>
      <c r="C42" s="88">
        <v>0</v>
      </c>
      <c r="D42" s="112">
        <f>(SUM(D27)/$C$27)*C42*1.5</f>
        <v>0</v>
      </c>
    </row>
    <row r="43" spans="1:4" ht="15" customHeight="1" outlineLevel="1" x14ac:dyDescent="0.35">
      <c r="A43" s="113" t="s">
        <v>17</v>
      </c>
      <c r="B43" s="114" t="s">
        <v>165</v>
      </c>
      <c r="C43" s="115">
        <v>0</v>
      </c>
      <c r="D43" s="104">
        <f>C43*177</f>
        <v>0</v>
      </c>
    </row>
    <row r="44" spans="1:4" ht="15" customHeight="1" outlineLevel="1" x14ac:dyDescent="0.35">
      <c r="A44" s="65" t="s">
        <v>19</v>
      </c>
      <c r="B44" s="55" t="s">
        <v>39</v>
      </c>
      <c r="C44" s="56">
        <v>0</v>
      </c>
      <c r="D44" s="107">
        <v>0</v>
      </c>
    </row>
    <row r="45" spans="1:4" ht="15" customHeight="1" x14ac:dyDescent="0.35">
      <c r="A45" s="644" t="s">
        <v>166</v>
      </c>
      <c r="B45" s="645"/>
      <c r="C45" s="30">
        <f>D45/D39</f>
        <v>0</v>
      </c>
      <c r="D45" s="116">
        <f>SUM(D42:D43)</f>
        <v>0</v>
      </c>
    </row>
    <row r="46" spans="1:4" ht="15" customHeight="1" x14ac:dyDescent="0.35">
      <c r="A46" s="646"/>
      <c r="B46" s="647"/>
      <c r="C46" s="647"/>
      <c r="D46" s="648"/>
    </row>
    <row r="47" spans="1:4" ht="15" customHeight="1" x14ac:dyDescent="0.35">
      <c r="A47" s="663" t="s">
        <v>41</v>
      </c>
      <c r="B47" s="664"/>
      <c r="C47" s="664"/>
      <c r="D47" s="665"/>
    </row>
    <row r="48" spans="1:4" ht="15" customHeight="1" outlineLevel="1" x14ac:dyDescent="0.35">
      <c r="A48" s="646"/>
      <c r="B48" s="647"/>
      <c r="C48" s="647"/>
      <c r="D48" s="648"/>
    </row>
    <row r="49" spans="1:4" ht="15" customHeight="1" outlineLevel="1" x14ac:dyDescent="0.35">
      <c r="A49" s="110" t="s">
        <v>42</v>
      </c>
      <c r="B49" s="109" t="s">
        <v>43</v>
      </c>
      <c r="C49" s="110" t="s">
        <v>44</v>
      </c>
      <c r="D49" s="110" t="s">
        <v>35</v>
      </c>
    </row>
    <row r="50" spans="1:4" ht="15" customHeight="1" outlineLevel="2" x14ac:dyDescent="0.35">
      <c r="A50" s="113" t="s">
        <v>36</v>
      </c>
      <c r="B50" s="114" t="s">
        <v>45</v>
      </c>
      <c r="C50" s="29">
        <f>1/12</f>
        <v>8.3299999999999999E-2</v>
      </c>
      <c r="D50" s="104">
        <f>C50*D39</f>
        <v>115.26</v>
      </c>
    </row>
    <row r="51" spans="1:4" ht="15" customHeight="1" outlineLevel="2" x14ac:dyDescent="0.35">
      <c r="A51" s="113" t="s">
        <v>16</v>
      </c>
      <c r="B51" s="114" t="s">
        <v>113</v>
      </c>
      <c r="C51" s="29">
        <f>IF(C12&gt;60,(1/C12/3)*5,IF(C12&gt;48,(1/C12/3)*4,IF(C12&gt;36,(1/C12/3)*3,IF(C12&gt;24,(1/C12/3)*2,IF(C12&gt;12,(1/C12/3)*1,0)))))</f>
        <v>1.67E-2</v>
      </c>
      <c r="D51" s="104">
        <f>C51*D39</f>
        <v>23.11</v>
      </c>
    </row>
    <row r="52" spans="1:4" ht="15" customHeight="1" outlineLevel="1" x14ac:dyDescent="0.35">
      <c r="A52" s="644" t="s">
        <v>11</v>
      </c>
      <c r="B52" s="645"/>
      <c r="C52" s="30">
        <f>SUM(C50:C51)</f>
        <v>0.1</v>
      </c>
      <c r="D52" s="116">
        <f>SUM(D50:D51)</f>
        <v>138.37</v>
      </c>
    </row>
    <row r="53" spans="1:4" ht="15" customHeight="1" outlineLevel="1" x14ac:dyDescent="0.35">
      <c r="A53" s="646"/>
      <c r="B53" s="647"/>
      <c r="C53" s="647"/>
      <c r="D53" s="648"/>
    </row>
    <row r="54" spans="1:4" ht="15" customHeight="1" outlineLevel="1" x14ac:dyDescent="0.35">
      <c r="A54" s="110" t="s">
        <v>46</v>
      </c>
      <c r="B54" s="117" t="s">
        <v>47</v>
      </c>
      <c r="C54" s="110" t="s">
        <v>44</v>
      </c>
      <c r="D54" s="118" t="s">
        <v>35</v>
      </c>
    </row>
    <row r="55" spans="1:4" ht="15" customHeight="1" outlineLevel="2" x14ac:dyDescent="0.35">
      <c r="A55" s="111" t="s">
        <v>36</v>
      </c>
      <c r="B55" s="31" t="s">
        <v>48</v>
      </c>
      <c r="C55" s="32">
        <v>0.2</v>
      </c>
      <c r="D55" s="104">
        <f t="shared" ref="D55:D62" si="0">C55*($D$39+$D$52)</f>
        <v>304.41000000000003</v>
      </c>
    </row>
    <row r="56" spans="1:4" ht="15" customHeight="1" outlineLevel="2" x14ac:dyDescent="0.35">
      <c r="A56" s="111" t="s">
        <v>16</v>
      </c>
      <c r="B56" s="31" t="s">
        <v>49</v>
      </c>
      <c r="C56" s="32">
        <v>2.5000000000000001E-2</v>
      </c>
      <c r="D56" s="104">
        <f t="shared" si="0"/>
        <v>38.049999999999997</v>
      </c>
    </row>
    <row r="57" spans="1:4" ht="15" customHeight="1" outlineLevel="2" x14ac:dyDescent="0.35">
      <c r="A57" s="111" t="s">
        <v>17</v>
      </c>
      <c r="B57" s="31" t="s">
        <v>167</v>
      </c>
      <c r="C57" s="66">
        <v>0.03</v>
      </c>
      <c r="D57" s="104">
        <f t="shared" si="0"/>
        <v>45.66</v>
      </c>
    </row>
    <row r="58" spans="1:4" ht="15" customHeight="1" outlineLevel="2" x14ac:dyDescent="0.35">
      <c r="A58" s="111" t="s">
        <v>19</v>
      </c>
      <c r="B58" s="31" t="s">
        <v>168</v>
      </c>
      <c r="C58" s="32">
        <v>1.4999999999999999E-2</v>
      </c>
      <c r="D58" s="104">
        <f t="shared" si="0"/>
        <v>22.83</v>
      </c>
    </row>
    <row r="59" spans="1:4" outlineLevel="2" x14ac:dyDescent="0.35">
      <c r="A59" s="111" t="s">
        <v>22</v>
      </c>
      <c r="B59" s="31" t="s">
        <v>169</v>
      </c>
      <c r="C59" s="32">
        <v>0.01</v>
      </c>
      <c r="D59" s="104">
        <f t="shared" si="0"/>
        <v>15.22</v>
      </c>
    </row>
    <row r="60" spans="1:4" outlineLevel="2" x14ac:dyDescent="0.35">
      <c r="A60" s="111" t="s">
        <v>24</v>
      </c>
      <c r="B60" s="31" t="s">
        <v>50</v>
      </c>
      <c r="C60" s="32">
        <v>6.0000000000000001E-3</v>
      </c>
      <c r="D60" s="104">
        <f t="shared" si="0"/>
        <v>9.1300000000000008</v>
      </c>
    </row>
    <row r="61" spans="1:4" outlineLevel="2" x14ac:dyDescent="0.35">
      <c r="A61" s="111" t="s">
        <v>25</v>
      </c>
      <c r="B61" s="31" t="s">
        <v>51</v>
      </c>
      <c r="C61" s="32">
        <v>2E-3</v>
      </c>
      <c r="D61" s="104">
        <f t="shared" si="0"/>
        <v>3.04</v>
      </c>
    </row>
    <row r="62" spans="1:4" outlineLevel="2" x14ac:dyDescent="0.35">
      <c r="A62" s="111" t="s">
        <v>52</v>
      </c>
      <c r="B62" s="31" t="s">
        <v>53</v>
      </c>
      <c r="C62" s="32">
        <v>0.08</v>
      </c>
      <c r="D62" s="104">
        <f t="shared" si="0"/>
        <v>121.76</v>
      </c>
    </row>
    <row r="63" spans="1:4" outlineLevel="1" x14ac:dyDescent="0.35">
      <c r="A63" s="644" t="s">
        <v>11</v>
      </c>
      <c r="B63" s="645"/>
      <c r="C63" s="33">
        <f>SUM(C55:C62)</f>
        <v>0.36799999999999999</v>
      </c>
      <c r="D63" s="119">
        <f>SUM(D55:D62)</f>
        <v>560.1</v>
      </c>
    </row>
    <row r="64" spans="1:4" outlineLevel="1" x14ac:dyDescent="0.35">
      <c r="A64" s="646"/>
      <c r="B64" s="647"/>
      <c r="C64" s="647"/>
      <c r="D64" s="648"/>
    </row>
    <row r="65" spans="1:4" outlineLevel="1" x14ac:dyDescent="0.35">
      <c r="A65" s="110" t="s">
        <v>54</v>
      </c>
      <c r="B65" s="117" t="s">
        <v>55</v>
      </c>
      <c r="C65" s="110" t="s">
        <v>56</v>
      </c>
      <c r="D65" s="110" t="s">
        <v>35</v>
      </c>
    </row>
    <row r="66" spans="1:4" outlineLevel="2" x14ac:dyDescent="0.35">
      <c r="A66" s="111" t="s">
        <v>36</v>
      </c>
      <c r="B66" s="31" t="s">
        <v>57</v>
      </c>
      <c r="C66" s="120">
        <f>'SR - ASG int'!C66</f>
        <v>4.4000000000000004</v>
      </c>
      <c r="D66" s="121">
        <f>IF(D67+D68&gt;0,(D67+D68),0)</f>
        <v>114.1</v>
      </c>
    </row>
    <row r="67" spans="1:4" outlineLevel="3" x14ac:dyDescent="0.35">
      <c r="A67" s="122" t="s">
        <v>110</v>
      </c>
      <c r="B67" s="31" t="s">
        <v>170</v>
      </c>
      <c r="C67" s="123">
        <v>22</v>
      </c>
      <c r="D67" s="124">
        <f>C66*C67*2</f>
        <v>193.6</v>
      </c>
    </row>
    <row r="68" spans="1:4" outlineLevel="3" x14ac:dyDescent="0.35">
      <c r="A68" s="122" t="s">
        <v>114</v>
      </c>
      <c r="B68" s="31" t="s">
        <v>171</v>
      </c>
      <c r="C68" s="125">
        <v>0.06</v>
      </c>
      <c r="D68" s="124">
        <f>-D27*C68</f>
        <v>-79.5</v>
      </c>
    </row>
    <row r="69" spans="1:4" outlineLevel="2" x14ac:dyDescent="0.35">
      <c r="A69" s="111" t="s">
        <v>16</v>
      </c>
      <c r="B69" s="31" t="s">
        <v>58</v>
      </c>
      <c r="C69" s="382">
        <f>290/22</f>
        <v>13.182</v>
      </c>
      <c r="D69" s="121">
        <f>D70+D71</f>
        <v>290</v>
      </c>
    </row>
    <row r="70" spans="1:4" outlineLevel="3" x14ac:dyDescent="0.35">
      <c r="A70" s="122" t="s">
        <v>90</v>
      </c>
      <c r="B70" s="31" t="s">
        <v>172</v>
      </c>
      <c r="C70" s="123">
        <v>22</v>
      </c>
      <c r="D70" s="124">
        <f>C69*C70</f>
        <v>290</v>
      </c>
    </row>
    <row r="71" spans="1:4" outlineLevel="3" x14ac:dyDescent="0.35">
      <c r="A71" s="122" t="s">
        <v>115</v>
      </c>
      <c r="B71" s="31" t="s">
        <v>91</v>
      </c>
      <c r="C71" s="127">
        <f>'SR - ASG int'!C71</f>
        <v>0</v>
      </c>
      <c r="D71" s="124">
        <f>D70*C71</f>
        <v>0</v>
      </c>
    </row>
    <row r="72" spans="1:4" outlineLevel="2" x14ac:dyDescent="0.35">
      <c r="A72" s="111" t="s">
        <v>17</v>
      </c>
      <c r="B72" s="75" t="s">
        <v>291</v>
      </c>
      <c r="C72" s="126">
        <v>9.6999999999999993</v>
      </c>
      <c r="D72" s="129">
        <f>C72</f>
        <v>9.6999999999999993</v>
      </c>
    </row>
    <row r="73" spans="1:4" outlineLevel="2" x14ac:dyDescent="0.35">
      <c r="A73" s="111" t="s">
        <v>19</v>
      </c>
      <c r="B73" s="76" t="s">
        <v>293</v>
      </c>
      <c r="C73" s="126">
        <f>140*3</f>
        <v>420</v>
      </c>
      <c r="D73" s="129">
        <f>C73*C152</f>
        <v>0.84</v>
      </c>
    </row>
    <row r="74" spans="1:4" outlineLevel="2" x14ac:dyDescent="0.35">
      <c r="A74" s="111" t="s">
        <v>22</v>
      </c>
      <c r="B74" s="75" t="s">
        <v>292</v>
      </c>
      <c r="C74" s="126">
        <v>21</v>
      </c>
      <c r="D74" s="129">
        <f>C74</f>
        <v>21</v>
      </c>
    </row>
    <row r="75" spans="1:4" outlineLevel="2" x14ac:dyDescent="0.35">
      <c r="A75" s="111" t="s">
        <v>24</v>
      </c>
      <c r="B75" s="75" t="s">
        <v>553</v>
      </c>
      <c r="C75" s="128">
        <v>0</v>
      </c>
      <c r="D75" s="129">
        <v>97</v>
      </c>
    </row>
    <row r="76" spans="1:4" outlineLevel="2" x14ac:dyDescent="0.35">
      <c r="A76" s="111" t="s">
        <v>25</v>
      </c>
      <c r="B76" s="75" t="s">
        <v>39</v>
      </c>
      <c r="C76" s="126">
        <v>0</v>
      </c>
      <c r="D76" s="130">
        <f>C76</f>
        <v>0</v>
      </c>
    </row>
    <row r="77" spans="1:4" outlineLevel="1" x14ac:dyDescent="0.35">
      <c r="A77" s="644" t="s">
        <v>59</v>
      </c>
      <c r="B77" s="657"/>
      <c r="C77" s="645"/>
      <c r="D77" s="116">
        <f>SUM(D66,D69,D72:D76)</f>
        <v>532.64</v>
      </c>
    </row>
    <row r="78" spans="1:4" outlineLevel="1" x14ac:dyDescent="0.35">
      <c r="A78" s="646"/>
      <c r="B78" s="647"/>
      <c r="C78" s="647"/>
      <c r="D78" s="648"/>
    </row>
    <row r="79" spans="1:4" outlineLevel="1" x14ac:dyDescent="0.35">
      <c r="A79" s="661" t="s">
        <v>60</v>
      </c>
      <c r="B79" s="662"/>
      <c r="C79" s="110" t="s">
        <v>44</v>
      </c>
      <c r="D79" s="110" t="s">
        <v>35</v>
      </c>
    </row>
    <row r="80" spans="1:4" outlineLevel="1" x14ac:dyDescent="0.35">
      <c r="A80" s="111" t="s">
        <v>61</v>
      </c>
      <c r="B80" s="31" t="s">
        <v>43</v>
      </c>
      <c r="C80" s="34">
        <f>C52</f>
        <v>0.1</v>
      </c>
      <c r="D80" s="104">
        <f>D52</f>
        <v>138.37</v>
      </c>
    </row>
    <row r="81" spans="1:4" outlineLevel="1" x14ac:dyDescent="0.35">
      <c r="A81" s="111" t="s">
        <v>46</v>
      </c>
      <c r="B81" s="31" t="s">
        <v>47</v>
      </c>
      <c r="C81" s="34">
        <f>C63</f>
        <v>0.36799999999999999</v>
      </c>
      <c r="D81" s="104">
        <f>D63</f>
        <v>560.1</v>
      </c>
    </row>
    <row r="82" spans="1:4" outlineLevel="1" x14ac:dyDescent="0.35">
      <c r="A82" s="111" t="s">
        <v>62</v>
      </c>
      <c r="B82" s="31" t="s">
        <v>55</v>
      </c>
      <c r="C82" s="34">
        <f>D77/D39</f>
        <v>0.38490000000000002</v>
      </c>
      <c r="D82" s="104">
        <f>D77</f>
        <v>532.64</v>
      </c>
    </row>
    <row r="83" spans="1:4" x14ac:dyDescent="0.35">
      <c r="A83" s="644" t="s">
        <v>11</v>
      </c>
      <c r="B83" s="657"/>
      <c r="C83" s="645"/>
      <c r="D83" s="116">
        <f>SUM(D80:D82)</f>
        <v>1231.1099999999999</v>
      </c>
    </row>
    <row r="84" spans="1:4" x14ac:dyDescent="0.35">
      <c r="A84" s="646"/>
      <c r="B84" s="647"/>
      <c r="C84" s="647"/>
      <c r="D84" s="648"/>
    </row>
    <row r="85" spans="1:4" x14ac:dyDescent="0.35">
      <c r="A85" s="680" t="s">
        <v>173</v>
      </c>
      <c r="B85" s="681"/>
      <c r="C85" s="681"/>
      <c r="D85" s="682"/>
    </row>
    <row r="86" spans="1:4" outlineLevel="1" x14ac:dyDescent="0.35">
      <c r="A86" s="646"/>
      <c r="B86" s="647"/>
      <c r="C86" s="647"/>
      <c r="D86" s="648"/>
    </row>
    <row r="87" spans="1:4" outlineLevel="1" x14ac:dyDescent="0.35">
      <c r="A87" s="64" t="s">
        <v>174</v>
      </c>
      <c r="B87" s="109" t="s">
        <v>175</v>
      </c>
      <c r="C87" s="110" t="s">
        <v>44</v>
      </c>
      <c r="D87" s="110" t="s">
        <v>35</v>
      </c>
    </row>
    <row r="88" spans="1:4" outlineLevel="2" x14ac:dyDescent="0.35">
      <c r="A88" s="35" t="s">
        <v>36</v>
      </c>
      <c r="B88" s="36" t="s">
        <v>176</v>
      </c>
      <c r="C88" s="35" t="s">
        <v>152</v>
      </c>
      <c r="D88" s="131">
        <f>IF(C99&gt;1,SUM(D89:D92)*2,SUM(D89:D92))</f>
        <v>1949.84</v>
      </c>
    </row>
    <row r="89" spans="1:4" outlineLevel="3" x14ac:dyDescent="0.35">
      <c r="A89" s="37" t="s">
        <v>177</v>
      </c>
      <c r="B89" s="38" t="s">
        <v>178</v>
      </c>
      <c r="C89" s="35">
        <f>(IF(C12&gt;60,45,IF(C12&gt;48,42,IF(C12&gt;36,39,IF(C12&gt;24,36,IF(C12&gt;12,33,30)))))/30)</f>
        <v>1.1000000000000001</v>
      </c>
      <c r="D89" s="131">
        <f>D39*C89</f>
        <v>1522.04</v>
      </c>
    </row>
    <row r="90" spans="1:4" outlineLevel="3" x14ac:dyDescent="0.35">
      <c r="A90" s="37" t="s">
        <v>179</v>
      </c>
      <c r="B90" s="38" t="s">
        <v>180</v>
      </c>
      <c r="C90" s="29">
        <f>1/12</f>
        <v>8.3299999999999999E-2</v>
      </c>
      <c r="D90" s="131">
        <f>C90*D89</f>
        <v>126.79</v>
      </c>
    </row>
    <row r="91" spans="1:4" outlineLevel="3" x14ac:dyDescent="0.35">
      <c r="A91" s="37" t="s">
        <v>181</v>
      </c>
      <c r="B91" s="38" t="s">
        <v>182</v>
      </c>
      <c r="C91" s="29">
        <f>(1/12)+(1/12/3)</f>
        <v>0.1111</v>
      </c>
      <c r="D91" s="132">
        <f>C91*D89</f>
        <v>169.1</v>
      </c>
    </row>
    <row r="92" spans="1:4" outlineLevel="3" x14ac:dyDescent="0.35">
      <c r="A92" s="37" t="s">
        <v>183</v>
      </c>
      <c r="B92" s="38" t="s">
        <v>184</v>
      </c>
      <c r="C92" s="39">
        <v>0.08</v>
      </c>
      <c r="D92" s="131">
        <f>SUM(D89:D90)*C92</f>
        <v>131.91</v>
      </c>
    </row>
    <row r="93" spans="1:4" outlineLevel="2" x14ac:dyDescent="0.35">
      <c r="A93" s="35" t="s">
        <v>16</v>
      </c>
      <c r="B93" s="36" t="s">
        <v>185</v>
      </c>
      <c r="C93" s="40">
        <v>0.4</v>
      </c>
      <c r="D93" s="131">
        <f>C93*D94</f>
        <v>975.58</v>
      </c>
    </row>
    <row r="94" spans="1:4" outlineLevel="3" x14ac:dyDescent="0.35">
      <c r="A94" s="35" t="s">
        <v>186</v>
      </c>
      <c r="B94" s="36" t="s">
        <v>187</v>
      </c>
      <c r="C94" s="40">
        <f>C62</f>
        <v>0.08</v>
      </c>
      <c r="D94" s="131">
        <f>C94*D95</f>
        <v>2438.9499999999998</v>
      </c>
    </row>
    <row r="95" spans="1:4" outlineLevel="3" x14ac:dyDescent="0.35">
      <c r="A95" s="35" t="s">
        <v>188</v>
      </c>
      <c r="B95" s="41" t="s">
        <v>116</v>
      </c>
      <c r="C95" s="42" t="s">
        <v>152</v>
      </c>
      <c r="D95" s="132">
        <f>SUM(D96:D98)</f>
        <v>30486.86</v>
      </c>
    </row>
    <row r="96" spans="1:4" outlineLevel="3" x14ac:dyDescent="0.35">
      <c r="A96" s="37" t="s">
        <v>189</v>
      </c>
      <c r="B96" s="38" t="s">
        <v>190</v>
      </c>
      <c r="C96" s="43">
        <f>C12-C98</f>
        <v>19</v>
      </c>
      <c r="D96" s="131">
        <f>D39*C96</f>
        <v>26289.73</v>
      </c>
    </row>
    <row r="97" spans="1:4" outlineLevel="3" x14ac:dyDescent="0.35">
      <c r="A97" s="37" t="s">
        <v>191</v>
      </c>
      <c r="B97" s="38" t="s">
        <v>192</v>
      </c>
      <c r="C97" s="44">
        <f>C12/12</f>
        <v>1.7</v>
      </c>
      <c r="D97" s="131">
        <f>D39*C97</f>
        <v>2352.2399999999998</v>
      </c>
    </row>
    <row r="98" spans="1:4" outlineLevel="3" x14ac:dyDescent="0.35">
      <c r="A98" s="37" t="s">
        <v>193</v>
      </c>
      <c r="B98" s="38" t="s">
        <v>194</v>
      </c>
      <c r="C98" s="42">
        <f>IF(C12&gt;60,5,IF(C12&gt;48,4,IF(C12&gt;36,3,IF(C12&gt;24,2,IF(C12&gt;12,1,0)))))</f>
        <v>1</v>
      </c>
      <c r="D98" s="132">
        <f>D39*C98*1.33333333333333</f>
        <v>1844.89</v>
      </c>
    </row>
    <row r="99" spans="1:4" outlineLevel="1" x14ac:dyDescent="0.35">
      <c r="A99" s="644" t="s">
        <v>11</v>
      </c>
      <c r="B99" s="645"/>
      <c r="C99" s="67">
        <f>'SR - ASG int'!C99</f>
        <v>5.5500000000000001E-2</v>
      </c>
      <c r="D99" s="116">
        <f>IF(C99&gt;1,D88+D93,(D88+D93)*C99)</f>
        <v>162.36000000000001</v>
      </c>
    </row>
    <row r="100" spans="1:4" outlineLevel="1" x14ac:dyDescent="0.35">
      <c r="A100" s="658"/>
      <c r="B100" s="659"/>
      <c r="C100" s="659"/>
      <c r="D100" s="660"/>
    </row>
    <row r="101" spans="1:4" outlineLevel="1" x14ac:dyDescent="0.35">
      <c r="A101" s="64" t="s">
        <v>195</v>
      </c>
      <c r="B101" s="109" t="s">
        <v>196</v>
      </c>
      <c r="C101" s="110" t="s">
        <v>44</v>
      </c>
      <c r="D101" s="110" t="s">
        <v>35</v>
      </c>
    </row>
    <row r="102" spans="1:4" outlineLevel="2" x14ac:dyDescent="0.35">
      <c r="A102" s="35" t="s">
        <v>36</v>
      </c>
      <c r="B102" s="41" t="s">
        <v>197</v>
      </c>
      <c r="C102" s="45">
        <f>IF(C111&gt;1,(1/30*7)*2,(1/30*7))</f>
        <v>0.23330000000000001</v>
      </c>
      <c r="D102" s="132">
        <f>C102*SUM(D103:D107)</f>
        <v>638.52</v>
      </c>
    </row>
    <row r="103" spans="1:4" outlineLevel="3" x14ac:dyDescent="0.35">
      <c r="A103" s="37" t="s">
        <v>177</v>
      </c>
      <c r="B103" s="38" t="s">
        <v>198</v>
      </c>
      <c r="C103" s="35">
        <v>1</v>
      </c>
      <c r="D103" s="131">
        <f>D39</f>
        <v>1383.67</v>
      </c>
    </row>
    <row r="104" spans="1:4" outlineLevel="3" x14ac:dyDescent="0.35">
      <c r="A104" s="37" t="s">
        <v>179</v>
      </c>
      <c r="B104" s="38" t="s">
        <v>199</v>
      </c>
      <c r="C104" s="29">
        <f>1/12</f>
        <v>8.3299999999999999E-2</v>
      </c>
      <c r="D104" s="131">
        <f>C104*D103</f>
        <v>115.26</v>
      </c>
    </row>
    <row r="105" spans="1:4" outlineLevel="3" x14ac:dyDescent="0.35">
      <c r="A105" s="37" t="s">
        <v>181</v>
      </c>
      <c r="B105" s="38" t="s">
        <v>200</v>
      </c>
      <c r="C105" s="29">
        <f>(1/12)+(1/12/3)</f>
        <v>0.1111</v>
      </c>
      <c r="D105" s="131">
        <f>C105*D103</f>
        <v>153.72999999999999</v>
      </c>
    </row>
    <row r="106" spans="1:4" outlineLevel="3" x14ac:dyDescent="0.35">
      <c r="A106" s="37" t="s">
        <v>183</v>
      </c>
      <c r="B106" s="46" t="s">
        <v>63</v>
      </c>
      <c r="C106" s="47">
        <f>C63</f>
        <v>0.36799999999999999</v>
      </c>
      <c r="D106" s="132">
        <f>C106*(D103+D104)</f>
        <v>551.61</v>
      </c>
    </row>
    <row r="107" spans="1:4" outlineLevel="3" x14ac:dyDescent="0.35">
      <c r="A107" s="37" t="s">
        <v>201</v>
      </c>
      <c r="B107" s="46" t="s">
        <v>202</v>
      </c>
      <c r="C107" s="42">
        <v>1</v>
      </c>
      <c r="D107" s="132">
        <f>D77</f>
        <v>532.64</v>
      </c>
    </row>
    <row r="108" spans="1:4" outlineLevel="2" x14ac:dyDescent="0.35">
      <c r="A108" s="35" t="s">
        <v>16</v>
      </c>
      <c r="B108" s="36" t="s">
        <v>203</v>
      </c>
      <c r="C108" s="40">
        <v>0.4</v>
      </c>
      <c r="D108" s="131">
        <f>C108*D109</f>
        <v>975.58</v>
      </c>
    </row>
    <row r="109" spans="1:4" outlineLevel="2" x14ac:dyDescent="0.35">
      <c r="A109" s="35" t="s">
        <v>186</v>
      </c>
      <c r="B109" s="36" t="s">
        <v>187</v>
      </c>
      <c r="C109" s="40">
        <f>C62</f>
        <v>0.08</v>
      </c>
      <c r="D109" s="131">
        <f>C109*D110</f>
        <v>2438.9499999999998</v>
      </c>
    </row>
    <row r="110" spans="1:4" outlineLevel="2" x14ac:dyDescent="0.35">
      <c r="A110" s="35" t="s">
        <v>188</v>
      </c>
      <c r="B110" s="41" t="s">
        <v>116</v>
      </c>
      <c r="C110" s="42" t="s">
        <v>152</v>
      </c>
      <c r="D110" s="132">
        <f>D95</f>
        <v>30486.86</v>
      </c>
    </row>
    <row r="111" spans="1:4" outlineLevel="1" x14ac:dyDescent="0.35">
      <c r="A111" s="644" t="s">
        <v>11</v>
      </c>
      <c r="B111" s="645"/>
      <c r="C111" s="67">
        <f>'SR - ASG int'!C111</f>
        <v>0.94450000000000001</v>
      </c>
      <c r="D111" s="116">
        <f>IF(C111&gt;1,D102+D108,(D102+D108)*C111)</f>
        <v>1524.52</v>
      </c>
    </row>
    <row r="112" spans="1:4" outlineLevel="1" x14ac:dyDescent="0.35">
      <c r="A112" s="658"/>
      <c r="B112" s="659"/>
      <c r="C112" s="659"/>
      <c r="D112" s="660"/>
    </row>
    <row r="113" spans="1:4" outlineLevel="1" x14ac:dyDescent="0.35">
      <c r="A113" s="64" t="s">
        <v>204</v>
      </c>
      <c r="B113" s="109" t="s">
        <v>205</v>
      </c>
      <c r="C113" s="110" t="s">
        <v>44</v>
      </c>
      <c r="D113" s="110" t="s">
        <v>35</v>
      </c>
    </row>
    <row r="114" spans="1:4" outlineLevel="2" x14ac:dyDescent="0.35">
      <c r="A114" s="111" t="s">
        <v>36</v>
      </c>
      <c r="B114" s="31" t="s">
        <v>206</v>
      </c>
      <c r="C114" s="34">
        <f>IF(C12&gt;60,(D39/12*(C12-60))/C12/D39,IF(C12&gt;48,(D39/12*(C12-48))/C12/D39,IF(C12&gt;36,(D39/12*(C12-36))/C12/D39,IF(C12&gt;24,(D39/12*(C12-24))/C12/D39,IF(C12&gt;12,((D39/12*(C12-12))/C12/D39),1/12)))))</f>
        <v>3.3300000000000003E-2</v>
      </c>
      <c r="D114" s="133">
        <f>C114*D39</f>
        <v>46.08</v>
      </c>
    </row>
    <row r="115" spans="1:4" outlineLevel="2" x14ac:dyDescent="0.35">
      <c r="A115" s="111" t="s">
        <v>16</v>
      </c>
      <c r="B115" s="48" t="s">
        <v>207</v>
      </c>
      <c r="C115" s="34">
        <f>C114/3</f>
        <v>1.11E-2</v>
      </c>
      <c r="D115" s="134">
        <f>C115*D39</f>
        <v>15.36</v>
      </c>
    </row>
    <row r="116" spans="1:4" outlineLevel="1" x14ac:dyDescent="0.35">
      <c r="A116" s="644" t="s">
        <v>11</v>
      </c>
      <c r="B116" s="645"/>
      <c r="C116" s="30">
        <f>C114+C115</f>
        <v>4.4400000000000002E-2</v>
      </c>
      <c r="D116" s="116">
        <f>SUM(D114:D115)</f>
        <v>61.44</v>
      </c>
    </row>
    <row r="117" spans="1:4" outlineLevel="1" x14ac:dyDescent="0.35">
      <c r="A117" s="658"/>
      <c r="B117" s="659"/>
      <c r="C117" s="659"/>
      <c r="D117" s="660"/>
    </row>
    <row r="118" spans="1:4" outlineLevel="1" x14ac:dyDescent="0.35">
      <c r="A118" s="661" t="s">
        <v>208</v>
      </c>
      <c r="B118" s="662"/>
      <c r="C118" s="110" t="s">
        <v>44</v>
      </c>
      <c r="D118" s="110" t="s">
        <v>35</v>
      </c>
    </row>
    <row r="119" spans="1:4" outlineLevel="1" x14ac:dyDescent="0.35">
      <c r="A119" s="111" t="s">
        <v>174</v>
      </c>
      <c r="B119" s="31" t="s">
        <v>175</v>
      </c>
      <c r="C119" s="34">
        <f>C99</f>
        <v>5.5500000000000001E-2</v>
      </c>
      <c r="D119" s="104">
        <f>D99</f>
        <v>162.36000000000001</v>
      </c>
    </row>
    <row r="120" spans="1:4" outlineLevel="1" x14ac:dyDescent="0.35">
      <c r="A120" s="113" t="s">
        <v>195</v>
      </c>
      <c r="B120" s="31" t="s">
        <v>196</v>
      </c>
      <c r="C120" s="49">
        <f>C111</f>
        <v>0.94450000000000001</v>
      </c>
      <c r="D120" s="104">
        <f>D111</f>
        <v>1524.52</v>
      </c>
    </row>
    <row r="121" spans="1:4" outlineLevel="1" x14ac:dyDescent="0.35">
      <c r="A121" s="679" t="s">
        <v>209</v>
      </c>
      <c r="B121" s="679"/>
      <c r="C121" s="679"/>
      <c r="D121" s="135">
        <f>D119+D120</f>
        <v>1686.88</v>
      </c>
    </row>
    <row r="122" spans="1:4" outlineLevel="1" x14ac:dyDescent="0.35">
      <c r="A122" s="675" t="s">
        <v>210</v>
      </c>
      <c r="B122" s="676"/>
      <c r="C122" s="68">
        <f>'SR - ASG int'!C122</f>
        <v>0.63570000000000004</v>
      </c>
      <c r="D122" s="58">
        <f>C122*D121</f>
        <v>1072.3499999999999</v>
      </c>
    </row>
    <row r="123" spans="1:4" outlineLevel="1" x14ac:dyDescent="0.35">
      <c r="A123" s="675" t="s">
        <v>211</v>
      </c>
      <c r="B123" s="676"/>
      <c r="C123" s="68">
        <f>'SR - ASG int'!C123</f>
        <v>1.0999999999999999E-2</v>
      </c>
      <c r="D123" s="58">
        <f>(D50+(D116/2))*-C123</f>
        <v>-1.61</v>
      </c>
    </row>
    <row r="124" spans="1:4" outlineLevel="1" x14ac:dyDescent="0.35">
      <c r="A124" s="677" t="s">
        <v>212</v>
      </c>
      <c r="B124" s="678"/>
      <c r="C124" s="72">
        <f>1/C12</f>
        <v>0.05</v>
      </c>
      <c r="D124" s="59">
        <f>(D122+D123)*C124</f>
        <v>53.54</v>
      </c>
    </row>
    <row r="125" spans="1:4" outlineLevel="1" x14ac:dyDescent="0.35">
      <c r="A125" s="113" t="s">
        <v>204</v>
      </c>
      <c r="B125" s="31" t="s">
        <v>213</v>
      </c>
      <c r="C125" s="49"/>
      <c r="D125" s="124">
        <f>D116</f>
        <v>61.44</v>
      </c>
    </row>
    <row r="126" spans="1:4" x14ac:dyDescent="0.35">
      <c r="A126" s="644" t="s">
        <v>11</v>
      </c>
      <c r="B126" s="645"/>
      <c r="C126" s="30"/>
      <c r="D126" s="136">
        <f>D124+D125</f>
        <v>114.98</v>
      </c>
    </row>
    <row r="127" spans="1:4" x14ac:dyDescent="0.35">
      <c r="A127" s="646"/>
      <c r="B127" s="647"/>
      <c r="C127" s="647"/>
      <c r="D127" s="648"/>
    </row>
    <row r="128" spans="1:4" x14ac:dyDescent="0.35">
      <c r="A128" s="663" t="s">
        <v>64</v>
      </c>
      <c r="B128" s="664"/>
      <c r="C128" s="664"/>
      <c r="D128" s="665"/>
    </row>
    <row r="129" spans="1:4" outlineLevel="1" x14ac:dyDescent="0.35">
      <c r="A129" s="658"/>
      <c r="B129" s="659"/>
      <c r="C129" s="659"/>
      <c r="D129" s="660"/>
    </row>
    <row r="130" spans="1:4" outlineLevel="1" x14ac:dyDescent="0.35">
      <c r="A130" s="110" t="s">
        <v>65</v>
      </c>
      <c r="B130" s="117" t="s">
        <v>214</v>
      </c>
      <c r="C130" s="30" t="s">
        <v>44</v>
      </c>
      <c r="D130" s="110" t="s">
        <v>35</v>
      </c>
    </row>
    <row r="131" spans="1:4" outlineLevel="2" x14ac:dyDescent="0.35">
      <c r="A131" s="137" t="s">
        <v>36</v>
      </c>
      <c r="B131" s="89" t="s">
        <v>66</v>
      </c>
      <c r="C131" s="50">
        <v>0</v>
      </c>
      <c r="D131" s="133">
        <f>SUM(D132:D136)</f>
        <v>0</v>
      </c>
    </row>
    <row r="132" spans="1:4" outlineLevel="3" x14ac:dyDescent="0.35">
      <c r="A132" s="138" t="s">
        <v>215</v>
      </c>
      <c r="B132" s="90" t="s">
        <v>216</v>
      </c>
      <c r="C132" s="139">
        <f>D39</f>
        <v>1383.67</v>
      </c>
      <c r="D132" s="140">
        <f>$C$131*(D39)-($C$131*(D39)*C137/3)</f>
        <v>0</v>
      </c>
    </row>
    <row r="133" spans="1:4" outlineLevel="3" x14ac:dyDescent="0.35">
      <c r="A133" s="138" t="s">
        <v>217</v>
      </c>
      <c r="B133" s="90" t="s">
        <v>218</v>
      </c>
      <c r="C133" s="139">
        <f>(D50)</f>
        <v>115.26</v>
      </c>
      <c r="D133" s="140">
        <f>$C$131*C133-($C$131*C133*C137/3)</f>
        <v>0</v>
      </c>
    </row>
    <row r="134" spans="1:4" outlineLevel="3" x14ac:dyDescent="0.35">
      <c r="A134" s="138" t="s">
        <v>219</v>
      </c>
      <c r="B134" s="90" t="s">
        <v>220</v>
      </c>
      <c r="C134" s="141">
        <f>(D39/12)+(D51*IF(C12&gt;60,((C12-60)*(1/60))+1,IF(C12&gt;48,((C12-48)*(1/48))+1,IF(C12&gt;36,((C12-36)*(1/36))+1,IF(C12&gt;24,((C12-24)*(1/24))+1,IF(C12&gt;12,((C12-12)*(1/12))+1,1))))))</f>
        <v>153.82</v>
      </c>
      <c r="D134" s="140">
        <f>$C$131*C134-($C$131*C134*C137/3)</f>
        <v>0</v>
      </c>
    </row>
    <row r="135" spans="1:4" outlineLevel="3" x14ac:dyDescent="0.35">
      <c r="A135" s="138" t="s">
        <v>221</v>
      </c>
      <c r="B135" s="90" t="s">
        <v>222</v>
      </c>
      <c r="C135" s="91">
        <f>C63</f>
        <v>0.36799999999999999</v>
      </c>
      <c r="D135" s="140">
        <f>SUM(D132:D134)*C131</f>
        <v>0</v>
      </c>
    </row>
    <row r="136" spans="1:4" outlineLevel="3" x14ac:dyDescent="0.35">
      <c r="A136" s="138" t="s">
        <v>223</v>
      </c>
      <c r="B136" s="90" t="s">
        <v>224</v>
      </c>
      <c r="C136" s="141">
        <f>D124</f>
        <v>53.54</v>
      </c>
      <c r="D136" s="140">
        <f>C136*C131</f>
        <v>0</v>
      </c>
    </row>
    <row r="137" spans="1:4" outlineLevel="2" x14ac:dyDescent="0.35">
      <c r="A137" s="111" t="s">
        <v>16</v>
      </c>
      <c r="B137" s="31" t="s">
        <v>225</v>
      </c>
      <c r="C137" s="92">
        <v>0</v>
      </c>
      <c r="D137" s="124">
        <f>$C$131*(D39)*(C137/3)</f>
        <v>0</v>
      </c>
    </row>
    <row r="138" spans="1:4" outlineLevel="1" x14ac:dyDescent="0.35">
      <c r="A138" s="644" t="s">
        <v>226</v>
      </c>
      <c r="B138" s="645"/>
      <c r="C138" s="30">
        <f>C131+(D137/D39)</f>
        <v>0</v>
      </c>
      <c r="D138" s="116">
        <f>SUM(D131:D137)</f>
        <v>0</v>
      </c>
    </row>
    <row r="139" spans="1:4" outlineLevel="1" x14ac:dyDescent="0.35">
      <c r="A139" s="658"/>
      <c r="B139" s="659"/>
      <c r="C139" s="659"/>
      <c r="D139" s="660"/>
    </row>
    <row r="140" spans="1:4" outlineLevel="2" x14ac:dyDescent="0.35">
      <c r="A140" s="668" t="s">
        <v>227</v>
      </c>
      <c r="B140" s="142" t="s">
        <v>190</v>
      </c>
      <c r="C140" s="93">
        <v>220</v>
      </c>
      <c r="D140" s="143">
        <f>D39</f>
        <v>1383.67</v>
      </c>
    </row>
    <row r="141" spans="1:4" outlineLevel="2" x14ac:dyDescent="0.35">
      <c r="A141" s="669"/>
      <c r="B141" s="142" t="s">
        <v>228</v>
      </c>
      <c r="C141" s="50">
        <f>(1+(1/3)+1)/12</f>
        <v>0.19439999999999999</v>
      </c>
      <c r="D141" s="144">
        <f>D140*C141</f>
        <v>268.99</v>
      </c>
    </row>
    <row r="142" spans="1:4" outlineLevel="2" x14ac:dyDescent="0.35">
      <c r="A142" s="669"/>
      <c r="B142" s="142" t="s">
        <v>229</v>
      </c>
      <c r="C142" s="50">
        <f>C63</f>
        <v>0.36799999999999999</v>
      </c>
      <c r="D142" s="144">
        <f>(D140+D141)*C142</f>
        <v>608.17999999999995</v>
      </c>
    </row>
    <row r="143" spans="1:4" outlineLevel="2" x14ac:dyDescent="0.35">
      <c r="A143" s="669"/>
      <c r="B143" s="142" t="s">
        <v>230</v>
      </c>
      <c r="C143" s="50">
        <f>D143/D140</f>
        <v>0.38490000000000002</v>
      </c>
      <c r="D143" s="144">
        <f>D77</f>
        <v>532.64</v>
      </c>
    </row>
    <row r="144" spans="1:4" outlineLevel="2" x14ac:dyDescent="0.35">
      <c r="A144" s="670"/>
      <c r="B144" s="145" t="s">
        <v>231</v>
      </c>
      <c r="C144" s="50">
        <f>D144/D140</f>
        <v>3.8699999999999998E-2</v>
      </c>
      <c r="D144" s="144">
        <f>D124</f>
        <v>53.54</v>
      </c>
    </row>
    <row r="145" spans="1:4" outlineLevel="2" x14ac:dyDescent="0.35">
      <c r="A145" s="671" t="s">
        <v>232</v>
      </c>
      <c r="B145" s="672"/>
      <c r="C145" s="94">
        <f>D145/D140</f>
        <v>2.0575999999999999</v>
      </c>
      <c r="D145" s="146">
        <f>SUM(D140:D144)</f>
        <v>2847.02</v>
      </c>
    </row>
    <row r="146" spans="1:4" outlineLevel="2" x14ac:dyDescent="0.35">
      <c r="A146" s="673"/>
      <c r="B146" s="673"/>
      <c r="C146" s="673"/>
      <c r="D146" s="674"/>
    </row>
    <row r="147" spans="1:4" outlineLevel="1" x14ac:dyDescent="0.35">
      <c r="A147" s="110" t="s">
        <v>233</v>
      </c>
      <c r="B147" s="117" t="s">
        <v>234</v>
      </c>
      <c r="C147" s="30" t="s">
        <v>44</v>
      </c>
      <c r="D147" s="110" t="s">
        <v>35</v>
      </c>
    </row>
    <row r="148" spans="1:4" outlineLevel="2" x14ac:dyDescent="0.35">
      <c r="A148" s="111" t="s">
        <v>16</v>
      </c>
      <c r="B148" s="31" t="s">
        <v>118</v>
      </c>
      <c r="C148" s="77">
        <f>5/252</f>
        <v>1.9800000000000002E-2</v>
      </c>
      <c r="D148" s="133">
        <f>C148*$D$145</f>
        <v>56.37</v>
      </c>
    </row>
    <row r="149" spans="1:4" outlineLevel="2" x14ac:dyDescent="0.35">
      <c r="A149" s="111" t="s">
        <v>17</v>
      </c>
      <c r="B149" s="31" t="s">
        <v>119</v>
      </c>
      <c r="C149" s="77">
        <f>1.383/252</f>
        <v>5.4999999999999997E-3</v>
      </c>
      <c r="D149" s="133">
        <f>C149*$D$145</f>
        <v>15.66</v>
      </c>
    </row>
    <row r="150" spans="1:4" outlineLevel="2" x14ac:dyDescent="0.35">
      <c r="A150" s="111" t="s">
        <v>19</v>
      </c>
      <c r="B150" s="31" t="s">
        <v>117</v>
      </c>
      <c r="C150" s="77">
        <f>1.3892/252</f>
        <v>5.4999999999999997E-3</v>
      </c>
      <c r="D150" s="133">
        <f t="shared" ref="D150:D153" si="1">C150*$D$145</f>
        <v>15.66</v>
      </c>
    </row>
    <row r="151" spans="1:4" outlineLevel="2" x14ac:dyDescent="0.35">
      <c r="A151" s="111" t="s">
        <v>22</v>
      </c>
      <c r="B151" s="31" t="s">
        <v>67</v>
      </c>
      <c r="C151" s="77">
        <f>0.65/252</f>
        <v>2.5999999999999999E-3</v>
      </c>
      <c r="D151" s="133">
        <f t="shared" si="1"/>
        <v>7.4</v>
      </c>
    </row>
    <row r="152" spans="1:4" outlineLevel="2" x14ac:dyDescent="0.35">
      <c r="A152" s="111" t="s">
        <v>24</v>
      </c>
      <c r="B152" s="31" t="s">
        <v>68</v>
      </c>
      <c r="C152" s="77">
        <f>0.5052/252</f>
        <v>2E-3</v>
      </c>
      <c r="D152" s="133">
        <f t="shared" si="1"/>
        <v>5.69</v>
      </c>
    </row>
    <row r="153" spans="1:4" outlineLevel="2" x14ac:dyDescent="0.35">
      <c r="A153" s="111" t="s">
        <v>36</v>
      </c>
      <c r="B153" s="61" t="s">
        <v>235</v>
      </c>
      <c r="C153" s="69">
        <f>0.2/252</f>
        <v>8.0000000000000004E-4</v>
      </c>
      <c r="D153" s="133">
        <f t="shared" si="1"/>
        <v>2.2799999999999998</v>
      </c>
    </row>
    <row r="154" spans="1:4" outlineLevel="1" x14ac:dyDescent="0.35">
      <c r="A154" s="644" t="s">
        <v>226</v>
      </c>
      <c r="B154" s="645"/>
      <c r="C154" s="30">
        <f>SUM(C148:C153)</f>
        <v>3.6200000000000003E-2</v>
      </c>
      <c r="D154" s="116">
        <f>SUM(D148:D153)</f>
        <v>103.06</v>
      </c>
    </row>
    <row r="155" spans="1:4" outlineLevel="1" x14ac:dyDescent="0.35">
      <c r="A155" s="658"/>
      <c r="B155" s="659"/>
      <c r="C155" s="659"/>
      <c r="D155" s="660"/>
    </row>
    <row r="156" spans="1:4" outlineLevel="1" x14ac:dyDescent="0.35">
      <c r="A156" s="661" t="s">
        <v>236</v>
      </c>
      <c r="B156" s="666"/>
      <c r="C156" s="30" t="s">
        <v>237</v>
      </c>
      <c r="D156" s="110" t="s">
        <v>35</v>
      </c>
    </row>
    <row r="157" spans="1:4" outlineLevel="2" x14ac:dyDescent="0.4">
      <c r="A157" s="667" t="s">
        <v>238</v>
      </c>
      <c r="B157" s="142" t="s">
        <v>239</v>
      </c>
      <c r="C157" s="95">
        <f>C153</f>
        <v>8.0000000000000004E-4</v>
      </c>
      <c r="D157" s="147">
        <f>C157*-D140</f>
        <v>-1.1100000000000001</v>
      </c>
    </row>
    <row r="158" spans="1:4" outlineLevel="2" x14ac:dyDescent="0.4">
      <c r="A158" s="667"/>
      <c r="B158" s="148" t="s">
        <v>240</v>
      </c>
      <c r="C158" s="96">
        <v>0</v>
      </c>
      <c r="D158" s="149">
        <f>C158*-(D140/220/24*5)</f>
        <v>0</v>
      </c>
    </row>
    <row r="159" spans="1:4" outlineLevel="2" x14ac:dyDescent="0.4">
      <c r="A159" s="667"/>
      <c r="B159" s="148" t="s">
        <v>241</v>
      </c>
      <c r="C159" s="96">
        <v>0</v>
      </c>
      <c r="D159" s="149">
        <f>C159*-D141</f>
        <v>0</v>
      </c>
    </row>
    <row r="160" spans="1:4" outlineLevel="2" x14ac:dyDescent="0.4">
      <c r="A160" s="667"/>
      <c r="B160" s="142" t="s">
        <v>242</v>
      </c>
      <c r="C160" s="95">
        <f>C154</f>
        <v>3.6200000000000003E-2</v>
      </c>
      <c r="D160" s="147">
        <f>C160*-D66</f>
        <v>-4.13</v>
      </c>
    </row>
    <row r="161" spans="1:4" outlineLevel="2" x14ac:dyDescent="0.4">
      <c r="A161" s="667"/>
      <c r="B161" s="142" t="s">
        <v>243</v>
      </c>
      <c r="C161" s="95">
        <f>C154</f>
        <v>3.6200000000000003E-2</v>
      </c>
      <c r="D161" s="147">
        <f>C161*-D69</f>
        <v>-10.5</v>
      </c>
    </row>
    <row r="162" spans="1:4" outlineLevel="2" x14ac:dyDescent="0.4">
      <c r="A162" s="667"/>
      <c r="B162" s="145" t="s">
        <v>244</v>
      </c>
      <c r="C162" s="95">
        <f>C153</f>
        <v>8.0000000000000004E-4</v>
      </c>
      <c r="D162" s="147">
        <f>C162*-D74</f>
        <v>-0.02</v>
      </c>
    </row>
    <row r="163" spans="1:4" outlineLevel="2" x14ac:dyDescent="0.35">
      <c r="A163" s="667"/>
      <c r="B163" s="145" t="s">
        <v>245</v>
      </c>
      <c r="C163" s="97">
        <f>C152</f>
        <v>2E-3</v>
      </c>
      <c r="D163" s="133">
        <f>C163*-SUM(D55:D61)</f>
        <v>-0.88</v>
      </c>
    </row>
    <row r="164" spans="1:4" outlineLevel="2" x14ac:dyDescent="0.4">
      <c r="A164" s="667"/>
      <c r="B164" s="142" t="s">
        <v>246</v>
      </c>
      <c r="C164" s="95">
        <f>C153</f>
        <v>8.0000000000000004E-4</v>
      </c>
      <c r="D164" s="147">
        <f>C164*-D142</f>
        <v>-0.49</v>
      </c>
    </row>
    <row r="165" spans="1:4" outlineLevel="1" x14ac:dyDescent="0.35">
      <c r="A165" s="644" t="s">
        <v>247</v>
      </c>
      <c r="B165" s="645"/>
      <c r="C165" s="30">
        <f>D165/D140</f>
        <v>-1.24E-2</v>
      </c>
      <c r="D165" s="116">
        <f>SUM(D157:D164)</f>
        <v>-17.13</v>
      </c>
    </row>
    <row r="166" spans="1:4" outlineLevel="1" x14ac:dyDescent="0.35">
      <c r="A166" s="658"/>
      <c r="B166" s="659"/>
      <c r="C166" s="659"/>
      <c r="D166" s="660"/>
    </row>
    <row r="167" spans="1:4" outlineLevel="1" x14ac:dyDescent="0.35">
      <c r="A167" s="644" t="s">
        <v>248</v>
      </c>
      <c r="B167" s="645"/>
      <c r="C167" s="30">
        <f>D167/D140</f>
        <v>6.2100000000000002E-2</v>
      </c>
      <c r="D167" s="116">
        <f>D154+D165</f>
        <v>85.93</v>
      </c>
    </row>
    <row r="168" spans="1:4" outlineLevel="1" x14ac:dyDescent="0.35">
      <c r="A168" s="658"/>
      <c r="B168" s="659"/>
      <c r="C168" s="659"/>
      <c r="D168" s="660"/>
    </row>
    <row r="169" spans="1:4" outlineLevel="1" x14ac:dyDescent="0.35">
      <c r="A169" s="661" t="s">
        <v>249</v>
      </c>
      <c r="B169" s="662"/>
      <c r="C169" s="110" t="s">
        <v>44</v>
      </c>
      <c r="D169" s="110" t="s">
        <v>35</v>
      </c>
    </row>
    <row r="170" spans="1:4" outlineLevel="1" x14ac:dyDescent="0.35">
      <c r="A170" s="111" t="s">
        <v>65</v>
      </c>
      <c r="B170" s="31" t="s">
        <v>214</v>
      </c>
      <c r="C170" s="34"/>
      <c r="D170" s="150">
        <f>D138</f>
        <v>0</v>
      </c>
    </row>
    <row r="171" spans="1:4" outlineLevel="1" x14ac:dyDescent="0.35">
      <c r="A171" s="111" t="s">
        <v>233</v>
      </c>
      <c r="B171" s="31" t="s">
        <v>234</v>
      </c>
      <c r="C171" s="34"/>
      <c r="D171" s="150">
        <f>D167</f>
        <v>85.93</v>
      </c>
    </row>
    <row r="172" spans="1:4" x14ac:dyDescent="0.35">
      <c r="A172" s="644" t="s">
        <v>11</v>
      </c>
      <c r="B172" s="657"/>
      <c r="C172" s="645"/>
      <c r="D172" s="119">
        <f>SUM(D170:D171)</f>
        <v>85.93</v>
      </c>
    </row>
    <row r="173" spans="1:4" x14ac:dyDescent="0.35">
      <c r="A173" s="658"/>
      <c r="B173" s="659"/>
      <c r="C173" s="659"/>
      <c r="D173" s="660"/>
    </row>
    <row r="174" spans="1:4" x14ac:dyDescent="0.35">
      <c r="A174" s="663" t="s">
        <v>69</v>
      </c>
      <c r="B174" s="664"/>
      <c r="C174" s="664"/>
      <c r="D174" s="665"/>
    </row>
    <row r="175" spans="1:4" outlineLevel="1" x14ac:dyDescent="0.35">
      <c r="A175" s="658"/>
      <c r="B175" s="659"/>
      <c r="C175" s="659"/>
      <c r="D175" s="660"/>
    </row>
    <row r="176" spans="1:4" outlineLevel="1" x14ac:dyDescent="0.35">
      <c r="A176" s="64">
        <v>5</v>
      </c>
      <c r="B176" s="644" t="s">
        <v>250</v>
      </c>
      <c r="C176" s="645"/>
      <c r="D176" s="110" t="s">
        <v>35</v>
      </c>
    </row>
    <row r="177" spans="1:4" outlineLevel="1" x14ac:dyDescent="0.35">
      <c r="A177" s="111" t="s">
        <v>36</v>
      </c>
      <c r="B177" s="655" t="s">
        <v>343</v>
      </c>
      <c r="C177" s="656"/>
      <c r="D177" s="200">
        <f>INSUMOS!H19</f>
        <v>31.31</v>
      </c>
    </row>
    <row r="178" spans="1:4" outlineLevel="1" x14ac:dyDescent="0.35">
      <c r="A178" s="111" t="s">
        <v>16</v>
      </c>
      <c r="B178" s="655" t="s">
        <v>369</v>
      </c>
      <c r="C178" s="656"/>
      <c r="D178" s="151">
        <f>INSUMOS!H29</f>
        <v>11.34</v>
      </c>
    </row>
    <row r="179" spans="1:4" outlineLevel="1" x14ac:dyDescent="0.35">
      <c r="A179" s="111" t="s">
        <v>17</v>
      </c>
      <c r="B179" s="640" t="s">
        <v>326</v>
      </c>
      <c r="C179" s="642"/>
      <c r="D179" s="151">
        <f>MATERIAIS!F125</f>
        <v>611.75</v>
      </c>
    </row>
    <row r="180" spans="1:4" outlineLevel="1" x14ac:dyDescent="0.35">
      <c r="A180" s="111" t="s">
        <v>19</v>
      </c>
      <c r="B180" s="640" t="s">
        <v>325</v>
      </c>
      <c r="C180" s="642"/>
      <c r="D180" s="151">
        <f>EQUIPAMENTOS!G134</f>
        <v>52.07</v>
      </c>
    </row>
    <row r="181" spans="1:4" outlineLevel="1" x14ac:dyDescent="0.35">
      <c r="A181" s="111" t="s">
        <v>22</v>
      </c>
      <c r="B181" s="705" t="s">
        <v>39</v>
      </c>
      <c r="C181" s="706"/>
      <c r="D181" s="130">
        <v>0</v>
      </c>
    </row>
    <row r="182" spans="1:4" outlineLevel="1" x14ac:dyDescent="0.35">
      <c r="A182" s="111" t="s">
        <v>24</v>
      </c>
      <c r="B182" s="705" t="s">
        <v>39</v>
      </c>
      <c r="C182" s="706"/>
      <c r="D182" s="130">
        <v>0</v>
      </c>
    </row>
    <row r="183" spans="1:4" x14ac:dyDescent="0.35">
      <c r="A183" s="644" t="s">
        <v>11</v>
      </c>
      <c r="B183" s="657"/>
      <c r="C183" s="645"/>
      <c r="D183" s="116">
        <f>SUM(D177:D181)</f>
        <v>706.47</v>
      </c>
    </row>
    <row r="184" spans="1:4" x14ac:dyDescent="0.35">
      <c r="A184" s="646"/>
      <c r="B184" s="647"/>
      <c r="C184" s="647"/>
      <c r="D184" s="648"/>
    </row>
    <row r="185" spans="1:4" x14ac:dyDescent="0.35">
      <c r="A185" s="649" t="s">
        <v>70</v>
      </c>
      <c r="B185" s="649"/>
      <c r="C185" s="649"/>
      <c r="D185" s="152">
        <f>D39+D83+D126+D172+D183</f>
        <v>3522.16</v>
      </c>
    </row>
    <row r="186" spans="1:4" x14ac:dyDescent="0.35">
      <c r="A186" s="650"/>
      <c r="B186" s="650"/>
      <c r="C186" s="650"/>
      <c r="D186" s="650"/>
    </row>
    <row r="187" spans="1:4" x14ac:dyDescent="0.35">
      <c r="A187" s="651" t="s">
        <v>71</v>
      </c>
      <c r="B187" s="651"/>
      <c r="C187" s="651"/>
      <c r="D187" s="651"/>
    </row>
    <row r="188" spans="1:4" outlineLevel="1" x14ac:dyDescent="0.35">
      <c r="A188" s="652"/>
      <c r="B188" s="653"/>
      <c r="C188" s="653"/>
      <c r="D188" s="654"/>
    </row>
    <row r="189" spans="1:4" outlineLevel="1" x14ac:dyDescent="0.35">
      <c r="A189" s="64">
        <v>6</v>
      </c>
      <c r="B189" s="117" t="s">
        <v>72</v>
      </c>
      <c r="C189" s="110" t="s">
        <v>44</v>
      </c>
      <c r="D189" s="110" t="s">
        <v>35</v>
      </c>
    </row>
    <row r="190" spans="1:4" outlineLevel="1" x14ac:dyDescent="0.35">
      <c r="A190" s="111" t="s">
        <v>36</v>
      </c>
      <c r="B190" s="31" t="s">
        <v>73</v>
      </c>
      <c r="C190" s="70">
        <f>'SR - ASG int'!C189</f>
        <v>2.6499999999999999E-2</v>
      </c>
      <c r="D190" s="105">
        <f>C190*D185</f>
        <v>93.34</v>
      </c>
    </row>
    <row r="191" spans="1:4" outlineLevel="1" x14ac:dyDescent="0.35">
      <c r="A191" s="638" t="s">
        <v>1</v>
      </c>
      <c r="B191" s="639"/>
      <c r="C191" s="643"/>
      <c r="D191" s="105">
        <f>D185+D190</f>
        <v>3615.5</v>
      </c>
    </row>
    <row r="192" spans="1:4" outlineLevel="1" x14ac:dyDescent="0.35">
      <c r="A192" s="111" t="s">
        <v>16</v>
      </c>
      <c r="B192" s="31" t="s">
        <v>74</v>
      </c>
      <c r="C192" s="70">
        <f>'SR - ASG int'!C191</f>
        <v>0.1087</v>
      </c>
      <c r="D192" s="105">
        <f>C192*D191</f>
        <v>393</v>
      </c>
    </row>
    <row r="193" spans="1:4" outlineLevel="1" x14ac:dyDescent="0.35">
      <c r="A193" s="638" t="s">
        <v>1</v>
      </c>
      <c r="B193" s="639"/>
      <c r="C193" s="639"/>
      <c r="D193" s="105">
        <f>D192+D191</f>
        <v>4008.5</v>
      </c>
    </row>
    <row r="194" spans="1:4" outlineLevel="1" x14ac:dyDescent="0.35">
      <c r="A194" s="111" t="s">
        <v>17</v>
      </c>
      <c r="B194" s="640" t="s">
        <v>75</v>
      </c>
      <c r="C194" s="641"/>
      <c r="D194" s="642"/>
    </row>
    <row r="195" spans="1:4" outlineLevel="1" x14ac:dyDescent="0.35">
      <c r="A195" s="153"/>
      <c r="B195" s="63" t="s">
        <v>76</v>
      </c>
      <c r="C195" s="70">
        <f>'SR - ASG int'!C194</f>
        <v>6.4999999999999997E-3</v>
      </c>
      <c r="D195" s="105">
        <f>(D193/(1-C198)*C195)</f>
        <v>27.76</v>
      </c>
    </row>
    <row r="196" spans="1:4" outlineLevel="1" x14ac:dyDescent="0.35">
      <c r="A196" s="153"/>
      <c r="B196" s="63" t="s">
        <v>77</v>
      </c>
      <c r="C196" s="70">
        <f>'SR - ASG int'!C195</f>
        <v>0.03</v>
      </c>
      <c r="D196" s="105">
        <f>(D193/(1-C198)*C196)</f>
        <v>128.13999999999999</v>
      </c>
    </row>
    <row r="197" spans="1:4" outlineLevel="1" x14ac:dyDescent="0.35">
      <c r="A197" s="153"/>
      <c r="B197" s="63" t="s">
        <v>377</v>
      </c>
      <c r="C197" s="51">
        <v>2.5000000000000001E-2</v>
      </c>
      <c r="D197" s="105">
        <f>(D193/(1-C198)*C197)</f>
        <v>106.78</v>
      </c>
    </row>
    <row r="198" spans="1:4" outlineLevel="1" x14ac:dyDescent="0.35">
      <c r="A198" s="638" t="s">
        <v>78</v>
      </c>
      <c r="B198" s="643"/>
      <c r="C198" s="52">
        <f>SUM(C195:C197)</f>
        <v>6.1499999999999999E-2</v>
      </c>
      <c r="D198" s="105">
        <f>SUM(D195:D197)</f>
        <v>262.68</v>
      </c>
    </row>
    <row r="199" spans="1:4" x14ac:dyDescent="0.35">
      <c r="A199" s="644" t="s">
        <v>11</v>
      </c>
      <c r="B199" s="645"/>
      <c r="C199" s="53">
        <f>(1+C190)*(1+C192)*(1/(1-C198))-1</f>
        <v>0.2127</v>
      </c>
      <c r="D199" s="108">
        <f>SUM(D198+D190+D192)</f>
        <v>749.02</v>
      </c>
    </row>
    <row r="200" spans="1:4" x14ac:dyDescent="0.35">
      <c r="A200" s="646"/>
      <c r="B200" s="647"/>
      <c r="C200" s="647"/>
      <c r="D200" s="648"/>
    </row>
    <row r="201" spans="1:4" x14ac:dyDescent="0.35">
      <c r="A201" s="634" t="s">
        <v>79</v>
      </c>
      <c r="B201" s="635"/>
      <c r="C201" s="636"/>
      <c r="D201" s="54" t="s">
        <v>35</v>
      </c>
    </row>
    <row r="202" spans="1:4" x14ac:dyDescent="0.35">
      <c r="A202" s="632" t="s">
        <v>80</v>
      </c>
      <c r="B202" s="637"/>
      <c r="C202" s="637"/>
      <c r="D202" s="633"/>
    </row>
    <row r="203" spans="1:4" x14ac:dyDescent="0.35">
      <c r="A203" s="65" t="s">
        <v>36</v>
      </c>
      <c r="B203" s="632" t="s">
        <v>81</v>
      </c>
      <c r="C203" s="633"/>
      <c r="D203" s="104">
        <f>D39</f>
        <v>1383.67</v>
      </c>
    </row>
    <row r="204" spans="1:4" x14ac:dyDescent="0.35">
      <c r="A204" s="65" t="s">
        <v>16</v>
      </c>
      <c r="B204" s="632" t="s">
        <v>82</v>
      </c>
      <c r="C204" s="633"/>
      <c r="D204" s="104">
        <f>D83</f>
        <v>1231.1099999999999</v>
      </c>
    </row>
    <row r="205" spans="1:4" x14ac:dyDescent="0.35">
      <c r="A205" s="65" t="s">
        <v>17</v>
      </c>
      <c r="B205" s="632" t="s">
        <v>83</v>
      </c>
      <c r="C205" s="633"/>
      <c r="D205" s="104">
        <f>D126</f>
        <v>114.98</v>
      </c>
    </row>
    <row r="206" spans="1:4" x14ac:dyDescent="0.35">
      <c r="A206" s="65" t="s">
        <v>19</v>
      </c>
      <c r="B206" s="632" t="s">
        <v>84</v>
      </c>
      <c r="C206" s="633"/>
      <c r="D206" s="104">
        <f>D172</f>
        <v>85.93</v>
      </c>
    </row>
    <row r="207" spans="1:4" x14ac:dyDescent="0.35">
      <c r="A207" s="65" t="s">
        <v>22</v>
      </c>
      <c r="B207" s="632" t="s">
        <v>85</v>
      </c>
      <c r="C207" s="633"/>
      <c r="D207" s="104">
        <f>D183</f>
        <v>706.47</v>
      </c>
    </row>
    <row r="208" spans="1:4" x14ac:dyDescent="0.4">
      <c r="A208" s="629" t="s">
        <v>86</v>
      </c>
      <c r="B208" s="630"/>
      <c r="C208" s="631"/>
      <c r="D208" s="104">
        <f>SUM(D203:D207)</f>
        <v>3522.16</v>
      </c>
    </row>
    <row r="209" spans="1:4" x14ac:dyDescent="0.35">
      <c r="A209" s="65" t="s">
        <v>87</v>
      </c>
      <c r="B209" s="632" t="s">
        <v>88</v>
      </c>
      <c r="C209" s="633"/>
      <c r="D209" s="104">
        <f>D199</f>
        <v>749.02</v>
      </c>
    </row>
    <row r="210" spans="1:4" x14ac:dyDescent="0.35">
      <c r="A210" s="634" t="s">
        <v>89</v>
      </c>
      <c r="B210" s="635"/>
      <c r="C210" s="636"/>
      <c r="D210" s="154">
        <f xml:space="preserve"> D208+D209</f>
        <v>4271.18</v>
      </c>
    </row>
  </sheetData>
  <mergeCells count="107">
    <mergeCell ref="A5:D5"/>
    <mergeCell ref="C6:D6"/>
    <mergeCell ref="C7:D7"/>
    <mergeCell ref="C8:D8"/>
    <mergeCell ref="C9:D9"/>
    <mergeCell ref="C10:D10"/>
    <mergeCell ref="A1:D1"/>
    <mergeCell ref="A2:B2"/>
    <mergeCell ref="C2:D2"/>
    <mergeCell ref="A3:B3"/>
    <mergeCell ref="C3:D3"/>
    <mergeCell ref="A4:D4"/>
    <mergeCell ref="C17:D17"/>
    <mergeCell ref="A18:D18"/>
    <mergeCell ref="B19:C19"/>
    <mergeCell ref="B20:C20"/>
    <mergeCell ref="B21:C21"/>
    <mergeCell ref="B22:C22"/>
    <mergeCell ref="C11:D11"/>
    <mergeCell ref="C12:D12"/>
    <mergeCell ref="A13:D13"/>
    <mergeCell ref="A14:D14"/>
    <mergeCell ref="A15:D15"/>
    <mergeCell ref="C16:D16"/>
    <mergeCell ref="A45:B45"/>
    <mergeCell ref="A46:D46"/>
    <mergeCell ref="A47:D47"/>
    <mergeCell ref="A48:D48"/>
    <mergeCell ref="A52:B52"/>
    <mergeCell ref="A53:D53"/>
    <mergeCell ref="A23:D23"/>
    <mergeCell ref="A24:D24"/>
    <mergeCell ref="A25:D25"/>
    <mergeCell ref="B26:C26"/>
    <mergeCell ref="A39:C39"/>
    <mergeCell ref="A40:D40"/>
    <mergeCell ref="A84:D84"/>
    <mergeCell ref="A85:D85"/>
    <mergeCell ref="A86:D86"/>
    <mergeCell ref="A99:B99"/>
    <mergeCell ref="A100:D100"/>
    <mergeCell ref="A111:B111"/>
    <mergeCell ref="A63:B63"/>
    <mergeCell ref="A64:D64"/>
    <mergeCell ref="A77:C77"/>
    <mergeCell ref="A78:D78"/>
    <mergeCell ref="A79:B79"/>
    <mergeCell ref="A83:C83"/>
    <mergeCell ref="A123:B123"/>
    <mergeCell ref="A124:B124"/>
    <mergeCell ref="A126:B126"/>
    <mergeCell ref="A127:D127"/>
    <mergeCell ref="A128:D128"/>
    <mergeCell ref="A129:D129"/>
    <mergeCell ref="A112:D112"/>
    <mergeCell ref="A116:B116"/>
    <mergeCell ref="A117:D117"/>
    <mergeCell ref="A118:B118"/>
    <mergeCell ref="A121:C121"/>
    <mergeCell ref="A122:B122"/>
    <mergeCell ref="A155:D155"/>
    <mergeCell ref="A156:B156"/>
    <mergeCell ref="A157:A164"/>
    <mergeCell ref="A165:B165"/>
    <mergeCell ref="A166:D166"/>
    <mergeCell ref="A167:B167"/>
    <mergeCell ref="A138:B138"/>
    <mergeCell ref="A139:D139"/>
    <mergeCell ref="A140:A144"/>
    <mergeCell ref="A145:B145"/>
    <mergeCell ref="A146:D146"/>
    <mergeCell ref="A154:B154"/>
    <mergeCell ref="B176:C176"/>
    <mergeCell ref="B177:C177"/>
    <mergeCell ref="B178:C178"/>
    <mergeCell ref="B179:C179"/>
    <mergeCell ref="B182:C182"/>
    <mergeCell ref="A183:C183"/>
    <mergeCell ref="A168:D168"/>
    <mergeCell ref="A169:B169"/>
    <mergeCell ref="A172:C172"/>
    <mergeCell ref="A173:D173"/>
    <mergeCell ref="A174:D174"/>
    <mergeCell ref="A175:D175"/>
    <mergeCell ref="B181:C181"/>
    <mergeCell ref="B180:C180"/>
    <mergeCell ref="A193:C193"/>
    <mergeCell ref="B194:D194"/>
    <mergeCell ref="A198:B198"/>
    <mergeCell ref="A199:B199"/>
    <mergeCell ref="A200:D200"/>
    <mergeCell ref="A201:C201"/>
    <mergeCell ref="A184:D184"/>
    <mergeCell ref="A185:C185"/>
    <mergeCell ref="A186:D186"/>
    <mergeCell ref="A187:D187"/>
    <mergeCell ref="A188:D188"/>
    <mergeCell ref="A191:C191"/>
    <mergeCell ref="A208:C208"/>
    <mergeCell ref="B209:C209"/>
    <mergeCell ref="A210:C210"/>
    <mergeCell ref="A202:D202"/>
    <mergeCell ref="B203:C203"/>
    <mergeCell ref="B204:C204"/>
    <mergeCell ref="B205:C205"/>
    <mergeCell ref="B206:C206"/>
    <mergeCell ref="B207:C207"/>
  </mergeCells>
  <pageMargins left="0.51181102362204722" right="0.51181102362204722" top="0.78740157480314965" bottom="0.78740157480314965" header="0.31496062992125984" footer="0.31496062992125984"/>
  <pageSetup scale="21" orientation="portrait" horizont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ABF530-639E-4091-85F7-44C678A437A8}">
  <sheetPr codeName="Planilha11">
    <pageSetUpPr fitToPage="1"/>
  </sheetPr>
  <dimension ref="A1:D210"/>
  <sheetViews>
    <sheetView view="pageBreakPreview" topLeftCell="A185" zoomScale="85" zoomScaleNormal="85" zoomScaleSheetLayoutView="85" workbookViewId="0">
      <selection activeCell="D67" sqref="D67"/>
    </sheetView>
  </sheetViews>
  <sheetFormatPr defaultColWidth="9.1796875" defaultRowHeight="15" customHeight="1" outlineLevelRow="3" x14ac:dyDescent="0.35"/>
  <cols>
    <col min="1" max="1" width="16.7265625" customWidth="1"/>
    <col min="2" max="2" width="76.81640625" customWidth="1"/>
    <col min="3" max="3" width="22.81640625" customWidth="1"/>
    <col min="4" max="4" width="23.54296875" customWidth="1"/>
  </cols>
  <sheetData>
    <row r="1" spans="1:4" ht="15" customHeight="1" x14ac:dyDescent="0.35">
      <c r="A1" s="683" t="s">
        <v>6</v>
      </c>
      <c r="B1" s="683"/>
      <c r="C1" s="683"/>
      <c r="D1" s="683"/>
    </row>
    <row r="2" spans="1:4" ht="15" customHeight="1" x14ac:dyDescent="0.35">
      <c r="A2" s="684" t="s">
        <v>12</v>
      </c>
      <c r="B2" s="684"/>
      <c r="C2" s="685" t="s">
        <v>519</v>
      </c>
      <c r="D2" s="686"/>
    </row>
    <row r="3" spans="1:4" ht="15" customHeight="1" x14ac:dyDescent="0.35">
      <c r="A3" s="684" t="s">
        <v>13</v>
      </c>
      <c r="B3" s="684"/>
      <c r="C3" s="685" t="s">
        <v>520</v>
      </c>
      <c r="D3" s="686"/>
    </row>
    <row r="4" spans="1:4" ht="15" customHeight="1" x14ac:dyDescent="0.35">
      <c r="A4" s="687"/>
      <c r="B4" s="687"/>
      <c r="C4" s="687"/>
      <c r="D4" s="687"/>
    </row>
    <row r="5" spans="1:4" ht="15" customHeight="1" x14ac:dyDescent="0.35">
      <c r="A5" s="687" t="s">
        <v>14</v>
      </c>
      <c r="B5" s="687"/>
      <c r="C5" s="687"/>
      <c r="D5" s="687"/>
    </row>
    <row r="6" spans="1:4" ht="15" customHeight="1" x14ac:dyDescent="0.35">
      <c r="A6" s="65" t="s">
        <v>15</v>
      </c>
      <c r="B6" s="63" t="s">
        <v>5</v>
      </c>
      <c r="C6" s="707" t="s">
        <v>144</v>
      </c>
      <c r="D6" s="708"/>
    </row>
    <row r="7" spans="1:4" ht="15" customHeight="1" x14ac:dyDescent="0.35">
      <c r="A7" s="65" t="s">
        <v>16</v>
      </c>
      <c r="B7" s="63" t="s">
        <v>4</v>
      </c>
      <c r="C7" s="717" t="s">
        <v>518</v>
      </c>
      <c r="D7" s="690"/>
    </row>
    <row r="8" spans="1:4" ht="15" customHeight="1" x14ac:dyDescent="0.35">
      <c r="A8" s="25" t="s">
        <v>17</v>
      </c>
      <c r="B8" s="26" t="s">
        <v>18</v>
      </c>
      <c r="C8" s="709" t="s">
        <v>521</v>
      </c>
      <c r="D8" s="710"/>
    </row>
    <row r="9" spans="1:4" ht="15" customHeight="1" x14ac:dyDescent="0.35">
      <c r="A9" s="65" t="s">
        <v>19</v>
      </c>
      <c r="B9" s="63" t="s">
        <v>20</v>
      </c>
      <c r="C9" s="700" t="s">
        <v>21</v>
      </c>
      <c r="D9" s="701"/>
    </row>
    <row r="10" spans="1:4" ht="15" customHeight="1" x14ac:dyDescent="0.35">
      <c r="A10" s="65" t="s">
        <v>22</v>
      </c>
      <c r="B10" s="63" t="s">
        <v>23</v>
      </c>
      <c r="C10" s="700" t="s">
        <v>145</v>
      </c>
      <c r="D10" s="701"/>
    </row>
    <row r="11" spans="1:4" ht="15" customHeight="1" x14ac:dyDescent="0.35">
      <c r="A11" s="65" t="s">
        <v>24</v>
      </c>
      <c r="B11" s="63" t="s">
        <v>251</v>
      </c>
      <c r="C11" s="720">
        <f>Resumo!F8</f>
        <v>2</v>
      </c>
      <c r="D11" s="721"/>
    </row>
    <row r="12" spans="1:4" ht="15" customHeight="1" x14ac:dyDescent="0.35">
      <c r="A12" s="65" t="s">
        <v>25</v>
      </c>
      <c r="B12" s="63" t="s">
        <v>26</v>
      </c>
      <c r="C12" s="693">
        <f>Resumo!I5</f>
        <v>20</v>
      </c>
      <c r="D12" s="694"/>
    </row>
    <row r="13" spans="1:4" ht="15" customHeight="1" x14ac:dyDescent="0.35">
      <c r="A13" s="695"/>
      <c r="B13" s="696"/>
      <c r="C13" s="696"/>
      <c r="D13" s="696"/>
    </row>
    <row r="14" spans="1:4" ht="15" customHeight="1" x14ac:dyDescent="0.35">
      <c r="A14" s="697" t="s">
        <v>27</v>
      </c>
      <c r="B14" s="698"/>
      <c r="C14" s="698"/>
      <c r="D14" s="699"/>
    </row>
    <row r="15" spans="1:4" ht="15" customHeight="1" x14ac:dyDescent="0.35">
      <c r="A15" s="690" t="s">
        <v>28</v>
      </c>
      <c r="B15" s="690"/>
      <c r="C15" s="690"/>
      <c r="D15" s="690"/>
    </row>
    <row r="16" spans="1:4" ht="15" customHeight="1" x14ac:dyDescent="0.35">
      <c r="A16" s="65">
        <v>1</v>
      </c>
      <c r="B16" s="63" t="s">
        <v>29</v>
      </c>
      <c r="C16" s="700" t="s">
        <v>271</v>
      </c>
      <c r="D16" s="701" t="s">
        <v>0</v>
      </c>
    </row>
    <row r="17" spans="1:4" ht="15" customHeight="1" x14ac:dyDescent="0.35">
      <c r="A17" s="65">
        <v>2</v>
      </c>
      <c r="B17" s="27" t="s">
        <v>30</v>
      </c>
      <c r="C17" s="688" t="s">
        <v>265</v>
      </c>
      <c r="D17" s="689"/>
    </row>
    <row r="18" spans="1:4" ht="15" customHeight="1" x14ac:dyDescent="0.35">
      <c r="A18" s="690" t="s">
        <v>31</v>
      </c>
      <c r="B18" s="690"/>
      <c r="C18" s="690"/>
      <c r="D18" s="690"/>
    </row>
    <row r="19" spans="1:4" ht="15" customHeight="1" x14ac:dyDescent="0.4">
      <c r="A19" s="65">
        <v>3</v>
      </c>
      <c r="B19" s="632" t="s">
        <v>3</v>
      </c>
      <c r="C19" s="633"/>
      <c r="D19" s="103">
        <f>'SR - ASG int'!D19</f>
        <v>1325</v>
      </c>
    </row>
    <row r="20" spans="1:4" ht="15" customHeight="1" x14ac:dyDescent="0.4">
      <c r="A20" s="65">
        <v>4</v>
      </c>
      <c r="B20" s="632" t="s">
        <v>252</v>
      </c>
      <c r="C20" s="633"/>
      <c r="D20" s="155">
        <v>220</v>
      </c>
    </row>
    <row r="21" spans="1:4" ht="15" customHeight="1" x14ac:dyDescent="0.35">
      <c r="A21" s="65">
        <v>5</v>
      </c>
      <c r="B21" s="632" t="s">
        <v>32</v>
      </c>
      <c r="C21" s="633"/>
      <c r="D21" s="73" t="s">
        <v>272</v>
      </c>
    </row>
    <row r="22" spans="1:4" ht="15" customHeight="1" x14ac:dyDescent="0.35">
      <c r="A22" s="65">
        <v>6</v>
      </c>
      <c r="B22" s="632" t="s">
        <v>2</v>
      </c>
      <c r="C22" s="633"/>
      <c r="D22" s="74">
        <v>44562</v>
      </c>
    </row>
    <row r="23" spans="1:4" ht="15" customHeight="1" x14ac:dyDescent="0.35">
      <c r="A23" s="700"/>
      <c r="B23" s="711"/>
      <c r="C23" s="711"/>
      <c r="D23" s="701"/>
    </row>
    <row r="24" spans="1:4" ht="15" customHeight="1" x14ac:dyDescent="0.35">
      <c r="A24" s="712" t="s">
        <v>33</v>
      </c>
      <c r="B24" s="712"/>
      <c r="C24" s="712"/>
      <c r="D24" s="712"/>
    </row>
    <row r="25" spans="1:4" ht="15" customHeight="1" x14ac:dyDescent="0.35">
      <c r="A25" s="713"/>
      <c r="B25" s="714"/>
      <c r="C25" s="714"/>
      <c r="D25" s="694"/>
    </row>
    <row r="26" spans="1:4" ht="15" customHeight="1" x14ac:dyDescent="0.35">
      <c r="A26" s="64">
        <v>1</v>
      </c>
      <c r="B26" s="634" t="s">
        <v>34</v>
      </c>
      <c r="C26" s="636"/>
      <c r="D26" s="64" t="s">
        <v>35</v>
      </c>
    </row>
    <row r="27" spans="1:4" ht="15" customHeight="1" outlineLevel="1" x14ac:dyDescent="0.35">
      <c r="A27" s="65" t="s">
        <v>36</v>
      </c>
      <c r="B27" s="63" t="s">
        <v>146</v>
      </c>
      <c r="C27" s="71">
        <f>'SR - ASG int'!C27</f>
        <v>220</v>
      </c>
      <c r="D27" s="104">
        <f>D19/220*C27</f>
        <v>1325</v>
      </c>
    </row>
    <row r="28" spans="1:4" ht="15" customHeight="1" outlineLevel="1" x14ac:dyDescent="0.35">
      <c r="A28" s="65" t="s">
        <v>16</v>
      </c>
      <c r="B28" s="63" t="s">
        <v>147</v>
      </c>
      <c r="C28" s="28">
        <v>0</v>
      </c>
      <c r="D28" s="104">
        <f>C28*D27</f>
        <v>0</v>
      </c>
    </row>
    <row r="29" spans="1:4" ht="15" customHeight="1" outlineLevel="1" x14ac:dyDescent="0.35">
      <c r="A29" s="65" t="s">
        <v>17</v>
      </c>
      <c r="B29" s="63" t="s">
        <v>38</v>
      </c>
      <c r="C29" s="28">
        <v>0</v>
      </c>
      <c r="D29" s="104">
        <f>C29*D27</f>
        <v>0</v>
      </c>
    </row>
    <row r="30" spans="1:4" ht="15" customHeight="1" outlineLevel="1" x14ac:dyDescent="0.35">
      <c r="A30" s="65" t="s">
        <v>19</v>
      </c>
      <c r="B30" s="63" t="s">
        <v>148</v>
      </c>
      <c r="C30" s="156">
        <v>0</v>
      </c>
      <c r="D30" s="105">
        <f>SUM(D31:D32)</f>
        <v>0</v>
      </c>
    </row>
    <row r="31" spans="1:4" ht="15" customHeight="1" outlineLevel="2" x14ac:dyDescent="0.35">
      <c r="A31" s="78" t="s">
        <v>111</v>
      </c>
      <c r="B31" s="63" t="s">
        <v>149</v>
      </c>
      <c r="C31" s="79">
        <v>0.2</v>
      </c>
      <c r="D31" s="105">
        <f>(SUM(D27:D29)/C27)*C31*15*C30</f>
        <v>0</v>
      </c>
    </row>
    <row r="32" spans="1:4" ht="15" customHeight="1" outlineLevel="2" x14ac:dyDescent="0.35">
      <c r="A32" s="78" t="s">
        <v>112</v>
      </c>
      <c r="B32" s="63" t="s">
        <v>150</v>
      </c>
      <c r="C32" s="80">
        <f>C30*(60/52.5)/8</f>
        <v>0</v>
      </c>
      <c r="D32" s="105">
        <f>(SUM(D27:D29)/C27)*(C31)*15*C32</f>
        <v>0</v>
      </c>
    </row>
    <row r="33" spans="1:4" ht="15" customHeight="1" outlineLevel="1" x14ac:dyDescent="0.35">
      <c r="A33" s="65" t="s">
        <v>22</v>
      </c>
      <c r="B33" s="63" t="s">
        <v>151</v>
      </c>
      <c r="C33" s="28" t="s">
        <v>152</v>
      </c>
      <c r="D33" s="1">
        <f>SUM(D34:D37)</f>
        <v>0</v>
      </c>
    </row>
    <row r="34" spans="1:4" ht="15" customHeight="1" outlineLevel="2" x14ac:dyDescent="0.35">
      <c r="A34" s="81" t="s">
        <v>153</v>
      </c>
      <c r="B34" s="82" t="s">
        <v>154</v>
      </c>
      <c r="C34" s="83">
        <v>0</v>
      </c>
      <c r="D34" s="106">
        <f>(SUM($D$27:$D$29)/$C$27)*C34*1.5</f>
        <v>0</v>
      </c>
    </row>
    <row r="35" spans="1:4" ht="15" customHeight="1" outlineLevel="2" x14ac:dyDescent="0.35">
      <c r="A35" s="81" t="s">
        <v>155</v>
      </c>
      <c r="B35" s="84" t="s">
        <v>156</v>
      </c>
      <c r="C35" s="85">
        <v>0</v>
      </c>
      <c r="D35" s="106">
        <f>(SUM($D$27:$D$29)/$C$27)*C35*((60/52.5)*1.2*1.5)</f>
        <v>0</v>
      </c>
    </row>
    <row r="36" spans="1:4" ht="15" customHeight="1" outlineLevel="2" x14ac:dyDescent="0.35">
      <c r="A36" s="81" t="s">
        <v>157</v>
      </c>
      <c r="B36" s="82" t="s">
        <v>158</v>
      </c>
      <c r="C36" s="86">
        <f>C34*0.1429</f>
        <v>0</v>
      </c>
      <c r="D36" s="106">
        <f>(SUM($D$27:$D$29)/$C$27)*C36*2</f>
        <v>0</v>
      </c>
    </row>
    <row r="37" spans="1:4" ht="15" customHeight="1" outlineLevel="2" x14ac:dyDescent="0.35">
      <c r="A37" s="81" t="s">
        <v>159</v>
      </c>
      <c r="B37" s="82" t="s">
        <v>160</v>
      </c>
      <c r="C37" s="86">
        <f>C34*0.1429</f>
        <v>0</v>
      </c>
      <c r="D37" s="106">
        <f>(SUM($D$27:$D$29)/$C$27)*C37*((60/52.5)*1.2*2)</f>
        <v>0</v>
      </c>
    </row>
    <row r="38" spans="1:4" ht="15" customHeight="1" outlineLevel="1" x14ac:dyDescent="0.35">
      <c r="A38" s="65" t="s">
        <v>24</v>
      </c>
      <c r="B38" s="55" t="s">
        <v>39</v>
      </c>
      <c r="C38" s="56">
        <v>0</v>
      </c>
      <c r="D38" s="107">
        <v>0</v>
      </c>
    </row>
    <row r="39" spans="1:4" ht="15" customHeight="1" x14ac:dyDescent="0.35">
      <c r="A39" s="634" t="s">
        <v>40</v>
      </c>
      <c r="B39" s="635"/>
      <c r="C39" s="636"/>
      <c r="D39" s="108">
        <f>SUM(D27:D30,D33,D38)</f>
        <v>1325</v>
      </c>
    </row>
    <row r="40" spans="1:4" ht="15" customHeight="1" x14ac:dyDescent="0.35">
      <c r="A40" s="650"/>
      <c r="B40" s="650"/>
      <c r="C40" s="650"/>
      <c r="D40" s="650"/>
    </row>
    <row r="41" spans="1:4" ht="15" customHeight="1" outlineLevel="1" x14ac:dyDescent="0.35">
      <c r="A41" s="87" t="s">
        <v>161</v>
      </c>
      <c r="B41" s="109" t="s">
        <v>162</v>
      </c>
      <c r="C41" s="110" t="s">
        <v>163</v>
      </c>
      <c r="D41" s="110" t="s">
        <v>35</v>
      </c>
    </row>
    <row r="42" spans="1:4" ht="15" customHeight="1" outlineLevel="1" x14ac:dyDescent="0.35">
      <c r="A42" s="111" t="s">
        <v>36</v>
      </c>
      <c r="B42" s="27" t="s">
        <v>164</v>
      </c>
      <c r="C42" s="88">
        <v>0</v>
      </c>
      <c r="D42" s="112">
        <f>(SUM(D27)/$C$27)*C42*1.5</f>
        <v>0</v>
      </c>
    </row>
    <row r="43" spans="1:4" ht="15" customHeight="1" outlineLevel="1" x14ac:dyDescent="0.35">
      <c r="A43" s="113" t="s">
        <v>17</v>
      </c>
      <c r="B43" s="114" t="s">
        <v>165</v>
      </c>
      <c r="C43" s="115">
        <v>0</v>
      </c>
      <c r="D43" s="104">
        <f>C43*177</f>
        <v>0</v>
      </c>
    </row>
    <row r="44" spans="1:4" ht="15" customHeight="1" outlineLevel="1" x14ac:dyDescent="0.35">
      <c r="A44" s="65" t="s">
        <v>19</v>
      </c>
      <c r="B44" s="55" t="s">
        <v>39</v>
      </c>
      <c r="C44" s="56">
        <v>0</v>
      </c>
      <c r="D44" s="107">
        <v>0</v>
      </c>
    </row>
    <row r="45" spans="1:4" ht="15" customHeight="1" x14ac:dyDescent="0.35">
      <c r="A45" s="644" t="s">
        <v>166</v>
      </c>
      <c r="B45" s="645"/>
      <c r="C45" s="30">
        <f>D45/D39</f>
        <v>0</v>
      </c>
      <c r="D45" s="116">
        <f>SUM(D42:D43)</f>
        <v>0</v>
      </c>
    </row>
    <row r="46" spans="1:4" ht="15" customHeight="1" x14ac:dyDescent="0.35">
      <c r="A46" s="646"/>
      <c r="B46" s="647"/>
      <c r="C46" s="647"/>
      <c r="D46" s="648"/>
    </row>
    <row r="47" spans="1:4" ht="15" customHeight="1" x14ac:dyDescent="0.35">
      <c r="A47" s="663" t="s">
        <v>41</v>
      </c>
      <c r="B47" s="664"/>
      <c r="C47" s="664"/>
      <c r="D47" s="665"/>
    </row>
    <row r="48" spans="1:4" ht="15" customHeight="1" outlineLevel="1" x14ac:dyDescent="0.35">
      <c r="A48" s="646"/>
      <c r="B48" s="647"/>
      <c r="C48" s="647"/>
      <c r="D48" s="648"/>
    </row>
    <row r="49" spans="1:4" ht="15" customHeight="1" outlineLevel="1" x14ac:dyDescent="0.35">
      <c r="A49" s="110" t="s">
        <v>42</v>
      </c>
      <c r="B49" s="109" t="s">
        <v>43</v>
      </c>
      <c r="C49" s="110" t="s">
        <v>44</v>
      </c>
      <c r="D49" s="110" t="s">
        <v>35</v>
      </c>
    </row>
    <row r="50" spans="1:4" ht="15" customHeight="1" outlineLevel="2" x14ac:dyDescent="0.35">
      <c r="A50" s="113" t="s">
        <v>36</v>
      </c>
      <c r="B50" s="114" t="s">
        <v>45</v>
      </c>
      <c r="C50" s="29">
        <f>1/12</f>
        <v>8.3299999999999999E-2</v>
      </c>
      <c r="D50" s="104">
        <f>C50*D39</f>
        <v>110.37</v>
      </c>
    </row>
    <row r="51" spans="1:4" ht="15" customHeight="1" outlineLevel="2" x14ac:dyDescent="0.35">
      <c r="A51" s="113" t="s">
        <v>16</v>
      </c>
      <c r="B51" s="114" t="s">
        <v>113</v>
      </c>
      <c r="C51" s="29">
        <f>IF(C12&gt;60,(1/C12/3)*5,IF(C12&gt;48,(1/C12/3)*4,IF(C12&gt;36,(1/C12/3)*3,IF(C12&gt;24,(1/C12/3)*2,IF(C12&gt;12,(1/C12/3)*1,0)))))</f>
        <v>1.67E-2</v>
      </c>
      <c r="D51" s="104">
        <f>C51*D39</f>
        <v>22.13</v>
      </c>
    </row>
    <row r="52" spans="1:4" ht="15" customHeight="1" outlineLevel="1" x14ac:dyDescent="0.35">
      <c r="A52" s="644" t="s">
        <v>11</v>
      </c>
      <c r="B52" s="645"/>
      <c r="C52" s="30">
        <f>SUM(C50:C51)</f>
        <v>0.1</v>
      </c>
      <c r="D52" s="116">
        <f>SUM(D50:D51)</f>
        <v>132.5</v>
      </c>
    </row>
    <row r="53" spans="1:4" ht="15" customHeight="1" outlineLevel="1" x14ac:dyDescent="0.35">
      <c r="A53" s="646"/>
      <c r="B53" s="647"/>
      <c r="C53" s="647"/>
      <c r="D53" s="648"/>
    </row>
    <row r="54" spans="1:4" ht="15" customHeight="1" outlineLevel="1" x14ac:dyDescent="0.35">
      <c r="A54" s="110" t="s">
        <v>46</v>
      </c>
      <c r="B54" s="117" t="s">
        <v>47</v>
      </c>
      <c r="C54" s="110" t="s">
        <v>44</v>
      </c>
      <c r="D54" s="118" t="s">
        <v>35</v>
      </c>
    </row>
    <row r="55" spans="1:4" ht="15" customHeight="1" outlineLevel="2" x14ac:dyDescent="0.35">
      <c r="A55" s="111" t="s">
        <v>36</v>
      </c>
      <c r="B55" s="31" t="s">
        <v>48</v>
      </c>
      <c r="C55" s="32">
        <v>0.2</v>
      </c>
      <c r="D55" s="104">
        <f t="shared" ref="D55:D62" si="0">C55*($D$39+$D$52)</f>
        <v>291.5</v>
      </c>
    </row>
    <row r="56" spans="1:4" ht="15" customHeight="1" outlineLevel="2" x14ac:dyDescent="0.35">
      <c r="A56" s="111" t="s">
        <v>16</v>
      </c>
      <c r="B56" s="31" t="s">
        <v>49</v>
      </c>
      <c r="C56" s="32">
        <v>2.5000000000000001E-2</v>
      </c>
      <c r="D56" s="104">
        <f t="shared" si="0"/>
        <v>36.44</v>
      </c>
    </row>
    <row r="57" spans="1:4" ht="15" customHeight="1" outlineLevel="2" x14ac:dyDescent="0.35">
      <c r="A57" s="111" t="s">
        <v>17</v>
      </c>
      <c r="B57" s="31" t="s">
        <v>167</v>
      </c>
      <c r="C57" s="66">
        <v>0.03</v>
      </c>
      <c r="D57" s="104">
        <f t="shared" si="0"/>
        <v>43.73</v>
      </c>
    </row>
    <row r="58" spans="1:4" ht="15" customHeight="1" outlineLevel="2" x14ac:dyDescent="0.35">
      <c r="A58" s="111" t="s">
        <v>19</v>
      </c>
      <c r="B58" s="31" t="s">
        <v>168</v>
      </c>
      <c r="C58" s="32">
        <v>1.4999999999999999E-2</v>
      </c>
      <c r="D58" s="104">
        <f t="shared" si="0"/>
        <v>21.86</v>
      </c>
    </row>
    <row r="59" spans="1:4" ht="15" customHeight="1" outlineLevel="2" x14ac:dyDescent="0.35">
      <c r="A59" s="111" t="s">
        <v>22</v>
      </c>
      <c r="B59" s="31" t="s">
        <v>169</v>
      </c>
      <c r="C59" s="32">
        <v>0.01</v>
      </c>
      <c r="D59" s="104">
        <f t="shared" si="0"/>
        <v>14.58</v>
      </c>
    </row>
    <row r="60" spans="1:4" ht="15" customHeight="1" outlineLevel="2" x14ac:dyDescent="0.35">
      <c r="A60" s="111" t="s">
        <v>24</v>
      </c>
      <c r="B60" s="31" t="s">
        <v>50</v>
      </c>
      <c r="C60" s="32">
        <v>6.0000000000000001E-3</v>
      </c>
      <c r="D60" s="104">
        <f t="shared" si="0"/>
        <v>8.75</v>
      </c>
    </row>
    <row r="61" spans="1:4" ht="15" customHeight="1" outlineLevel="2" x14ac:dyDescent="0.35">
      <c r="A61" s="111" t="s">
        <v>25</v>
      </c>
      <c r="B61" s="31" t="s">
        <v>51</v>
      </c>
      <c r="C61" s="32">
        <v>2E-3</v>
      </c>
      <c r="D61" s="104">
        <f t="shared" si="0"/>
        <v>2.92</v>
      </c>
    </row>
    <row r="62" spans="1:4" ht="15" customHeight="1" outlineLevel="2" x14ac:dyDescent="0.35">
      <c r="A62" s="111" t="s">
        <v>52</v>
      </c>
      <c r="B62" s="31" t="s">
        <v>53</v>
      </c>
      <c r="C62" s="32">
        <v>0.08</v>
      </c>
      <c r="D62" s="104">
        <f t="shared" si="0"/>
        <v>116.6</v>
      </c>
    </row>
    <row r="63" spans="1:4" ht="15" customHeight="1" outlineLevel="1" x14ac:dyDescent="0.35">
      <c r="A63" s="644" t="s">
        <v>11</v>
      </c>
      <c r="B63" s="645"/>
      <c r="C63" s="33">
        <f>SUM(C55:C62)</f>
        <v>0.36799999999999999</v>
      </c>
      <c r="D63" s="119">
        <f>SUM(D55:D62)</f>
        <v>536.38</v>
      </c>
    </row>
    <row r="64" spans="1:4" ht="15" customHeight="1" outlineLevel="1" x14ac:dyDescent="0.35">
      <c r="A64" s="646"/>
      <c r="B64" s="647"/>
      <c r="C64" s="647"/>
      <c r="D64" s="648"/>
    </row>
    <row r="65" spans="1:4" ht="15" customHeight="1" outlineLevel="1" x14ac:dyDescent="0.35">
      <c r="A65" s="110" t="s">
        <v>54</v>
      </c>
      <c r="B65" s="117" t="s">
        <v>55</v>
      </c>
      <c r="C65" s="110" t="s">
        <v>56</v>
      </c>
      <c r="D65" s="110" t="s">
        <v>35</v>
      </c>
    </row>
    <row r="66" spans="1:4" ht="15" customHeight="1" outlineLevel="2" x14ac:dyDescent="0.35">
      <c r="A66" s="111" t="s">
        <v>36</v>
      </c>
      <c r="B66" s="31" t="s">
        <v>57</v>
      </c>
      <c r="C66" s="120">
        <f>'SR - ASG int'!C66</f>
        <v>4.4000000000000004</v>
      </c>
      <c r="D66" s="121">
        <f>IF(D67+D68&gt;0,(D67+D68),0)</f>
        <v>114.1</v>
      </c>
    </row>
    <row r="67" spans="1:4" ht="15" customHeight="1" outlineLevel="3" x14ac:dyDescent="0.35">
      <c r="A67" s="122" t="s">
        <v>110</v>
      </c>
      <c r="B67" s="31" t="s">
        <v>170</v>
      </c>
      <c r="C67" s="123">
        <v>22</v>
      </c>
      <c r="D67" s="124">
        <f>C66*C67*2</f>
        <v>193.6</v>
      </c>
    </row>
    <row r="68" spans="1:4" ht="15" customHeight="1" outlineLevel="3" x14ac:dyDescent="0.35">
      <c r="A68" s="122" t="s">
        <v>114</v>
      </c>
      <c r="B68" s="31" t="s">
        <v>171</v>
      </c>
      <c r="C68" s="125">
        <v>0.06</v>
      </c>
      <c r="D68" s="124">
        <f>-D27*C68</f>
        <v>-79.5</v>
      </c>
    </row>
    <row r="69" spans="1:4" ht="15" customHeight="1" outlineLevel="2" x14ac:dyDescent="0.35">
      <c r="A69" s="111" t="s">
        <v>16</v>
      </c>
      <c r="B69" s="31" t="s">
        <v>58</v>
      </c>
      <c r="C69" s="382">
        <f>290/22</f>
        <v>13.182</v>
      </c>
      <c r="D69" s="121">
        <f>D70+D71</f>
        <v>290</v>
      </c>
    </row>
    <row r="70" spans="1:4" ht="15" customHeight="1" outlineLevel="3" x14ac:dyDescent="0.35">
      <c r="A70" s="122" t="s">
        <v>90</v>
      </c>
      <c r="B70" s="31" t="s">
        <v>172</v>
      </c>
      <c r="C70" s="123">
        <v>22</v>
      </c>
      <c r="D70" s="124">
        <f>C69*C70</f>
        <v>290</v>
      </c>
    </row>
    <row r="71" spans="1:4" ht="15" customHeight="1" outlineLevel="3" x14ac:dyDescent="0.35">
      <c r="A71" s="122" t="s">
        <v>115</v>
      </c>
      <c r="B71" s="31" t="s">
        <v>91</v>
      </c>
      <c r="C71" s="127">
        <f>'SR - ASG int'!C71</f>
        <v>0</v>
      </c>
      <c r="D71" s="124">
        <f>D70*C71</f>
        <v>0</v>
      </c>
    </row>
    <row r="72" spans="1:4" ht="15" customHeight="1" outlineLevel="2" x14ac:dyDescent="0.35">
      <c r="A72" s="111" t="s">
        <v>17</v>
      </c>
      <c r="B72" s="75" t="s">
        <v>291</v>
      </c>
      <c r="C72" s="126">
        <f>'SR - ASG int'!C72</f>
        <v>9.6999999999999993</v>
      </c>
      <c r="D72" s="129">
        <f>C72</f>
        <v>9.6999999999999993</v>
      </c>
    </row>
    <row r="73" spans="1:4" ht="15" customHeight="1" outlineLevel="2" x14ac:dyDescent="0.35">
      <c r="A73" s="111" t="s">
        <v>19</v>
      </c>
      <c r="B73" s="76" t="s">
        <v>293</v>
      </c>
      <c r="C73" s="126">
        <f>140*3</f>
        <v>420</v>
      </c>
      <c r="D73" s="129">
        <f>C73*C152</f>
        <v>0.84</v>
      </c>
    </row>
    <row r="74" spans="1:4" ht="15" customHeight="1" outlineLevel="2" x14ac:dyDescent="0.35">
      <c r="A74" s="111" t="s">
        <v>22</v>
      </c>
      <c r="B74" s="75" t="s">
        <v>292</v>
      </c>
      <c r="C74" s="126">
        <v>21</v>
      </c>
      <c r="D74" s="129">
        <f>C74</f>
        <v>21</v>
      </c>
    </row>
    <row r="75" spans="1:4" ht="15" customHeight="1" outlineLevel="2" x14ac:dyDescent="0.35">
      <c r="A75" s="111" t="s">
        <v>24</v>
      </c>
      <c r="B75" s="75" t="s">
        <v>553</v>
      </c>
      <c r="C75" s="128">
        <v>0</v>
      </c>
      <c r="D75" s="129">
        <v>97</v>
      </c>
    </row>
    <row r="76" spans="1:4" ht="15" customHeight="1" outlineLevel="2" x14ac:dyDescent="0.35">
      <c r="A76" s="111" t="s">
        <v>25</v>
      </c>
      <c r="B76" s="75" t="s">
        <v>39</v>
      </c>
      <c r="C76" s="126">
        <v>0</v>
      </c>
      <c r="D76" s="130">
        <f>C76</f>
        <v>0</v>
      </c>
    </row>
    <row r="77" spans="1:4" ht="15" customHeight="1" outlineLevel="1" x14ac:dyDescent="0.35">
      <c r="A77" s="644" t="s">
        <v>59</v>
      </c>
      <c r="B77" s="657"/>
      <c r="C77" s="645"/>
      <c r="D77" s="116">
        <f>SUM(D66,D69,D72:D76)</f>
        <v>532.64</v>
      </c>
    </row>
    <row r="78" spans="1:4" ht="15" customHeight="1" outlineLevel="1" x14ac:dyDescent="0.35">
      <c r="A78" s="646"/>
      <c r="B78" s="647"/>
      <c r="C78" s="647"/>
      <c r="D78" s="648"/>
    </row>
    <row r="79" spans="1:4" ht="15" customHeight="1" outlineLevel="1" x14ac:dyDescent="0.35">
      <c r="A79" s="661" t="s">
        <v>60</v>
      </c>
      <c r="B79" s="662"/>
      <c r="C79" s="110" t="s">
        <v>44</v>
      </c>
      <c r="D79" s="110" t="s">
        <v>35</v>
      </c>
    </row>
    <row r="80" spans="1:4" ht="15" customHeight="1" outlineLevel="1" x14ac:dyDescent="0.35">
      <c r="A80" s="111" t="s">
        <v>61</v>
      </c>
      <c r="B80" s="31" t="s">
        <v>43</v>
      </c>
      <c r="C80" s="34">
        <f>C52</f>
        <v>0.1</v>
      </c>
      <c r="D80" s="104">
        <f>D52</f>
        <v>132.5</v>
      </c>
    </row>
    <row r="81" spans="1:4" ht="15" customHeight="1" outlineLevel="1" x14ac:dyDescent="0.35">
      <c r="A81" s="111" t="s">
        <v>46</v>
      </c>
      <c r="B81" s="31" t="s">
        <v>47</v>
      </c>
      <c r="C81" s="34">
        <f>C63</f>
        <v>0.36799999999999999</v>
      </c>
      <c r="D81" s="104">
        <f>D63</f>
        <v>536.38</v>
      </c>
    </row>
    <row r="82" spans="1:4" ht="15" customHeight="1" outlineLevel="1" x14ac:dyDescent="0.35">
      <c r="A82" s="111" t="s">
        <v>62</v>
      </c>
      <c r="B82" s="31" t="s">
        <v>55</v>
      </c>
      <c r="C82" s="34">
        <f>D77/D39</f>
        <v>0.40200000000000002</v>
      </c>
      <c r="D82" s="104">
        <f>D77</f>
        <v>532.64</v>
      </c>
    </row>
    <row r="83" spans="1:4" ht="15" customHeight="1" x14ac:dyDescent="0.35">
      <c r="A83" s="644" t="s">
        <v>11</v>
      </c>
      <c r="B83" s="657"/>
      <c r="C83" s="645"/>
      <c r="D83" s="116">
        <f>SUM(D80:D82)</f>
        <v>1201.52</v>
      </c>
    </row>
    <row r="84" spans="1:4" ht="15" customHeight="1" x14ac:dyDescent="0.35">
      <c r="A84" s="646"/>
      <c r="B84" s="647"/>
      <c r="C84" s="647"/>
      <c r="D84" s="648"/>
    </row>
    <row r="85" spans="1:4" ht="15" customHeight="1" x14ac:dyDescent="0.35">
      <c r="A85" s="680" t="s">
        <v>173</v>
      </c>
      <c r="B85" s="681"/>
      <c r="C85" s="681"/>
      <c r="D85" s="682"/>
    </row>
    <row r="86" spans="1:4" ht="15" customHeight="1" outlineLevel="1" x14ac:dyDescent="0.35">
      <c r="A86" s="646"/>
      <c r="B86" s="647"/>
      <c r="C86" s="647"/>
      <c r="D86" s="648"/>
    </row>
    <row r="87" spans="1:4" ht="15" customHeight="1" outlineLevel="1" x14ac:dyDescent="0.35">
      <c r="A87" s="64" t="s">
        <v>174</v>
      </c>
      <c r="B87" s="109" t="s">
        <v>175</v>
      </c>
      <c r="C87" s="110" t="s">
        <v>44</v>
      </c>
      <c r="D87" s="110" t="s">
        <v>35</v>
      </c>
    </row>
    <row r="88" spans="1:4" ht="15" customHeight="1" outlineLevel="2" x14ac:dyDescent="0.35">
      <c r="A88" s="35" t="s">
        <v>36</v>
      </c>
      <c r="B88" s="36" t="s">
        <v>176</v>
      </c>
      <c r="C88" s="35" t="s">
        <v>152</v>
      </c>
      <c r="D88" s="131">
        <f>IF(C99&gt;1,SUM(D89:D92)*2,SUM(D89:D92))</f>
        <v>1867.15</v>
      </c>
    </row>
    <row r="89" spans="1:4" ht="15" customHeight="1" outlineLevel="3" x14ac:dyDescent="0.35">
      <c r="A89" s="37" t="s">
        <v>177</v>
      </c>
      <c r="B89" s="38" t="s">
        <v>178</v>
      </c>
      <c r="C89" s="35">
        <f>(IF(C12&gt;60,45,IF(C12&gt;48,42,IF(C12&gt;36,39,IF(C12&gt;24,36,IF(C12&gt;12,33,30)))))/30)</f>
        <v>1.1000000000000001</v>
      </c>
      <c r="D89" s="131">
        <f>D39*C89</f>
        <v>1457.5</v>
      </c>
    </row>
    <row r="90" spans="1:4" ht="15" customHeight="1" outlineLevel="3" x14ac:dyDescent="0.35">
      <c r="A90" s="37" t="s">
        <v>179</v>
      </c>
      <c r="B90" s="38" t="s">
        <v>180</v>
      </c>
      <c r="C90" s="29">
        <f>1/12</f>
        <v>8.3299999999999999E-2</v>
      </c>
      <c r="D90" s="131">
        <f>C90*D89</f>
        <v>121.41</v>
      </c>
    </row>
    <row r="91" spans="1:4" ht="15" customHeight="1" outlineLevel="3" x14ac:dyDescent="0.35">
      <c r="A91" s="37" t="s">
        <v>181</v>
      </c>
      <c r="B91" s="38" t="s">
        <v>182</v>
      </c>
      <c r="C91" s="29">
        <f>(1/12)+(1/12/3)</f>
        <v>0.1111</v>
      </c>
      <c r="D91" s="132">
        <f>C91*D89</f>
        <v>161.93</v>
      </c>
    </row>
    <row r="92" spans="1:4" ht="15" customHeight="1" outlineLevel="3" x14ac:dyDescent="0.35">
      <c r="A92" s="37" t="s">
        <v>183</v>
      </c>
      <c r="B92" s="38" t="s">
        <v>184</v>
      </c>
      <c r="C92" s="39">
        <v>0.08</v>
      </c>
      <c r="D92" s="131">
        <f>SUM(D89:D90)*C92</f>
        <v>126.31</v>
      </c>
    </row>
    <row r="93" spans="1:4" ht="15" customHeight="1" outlineLevel="2" x14ac:dyDescent="0.35">
      <c r="A93" s="35" t="s">
        <v>16</v>
      </c>
      <c r="B93" s="36" t="s">
        <v>185</v>
      </c>
      <c r="C93" s="40">
        <v>0.4</v>
      </c>
      <c r="D93" s="131">
        <f>C93*D94</f>
        <v>934.21</v>
      </c>
    </row>
    <row r="94" spans="1:4" ht="15" customHeight="1" outlineLevel="3" x14ac:dyDescent="0.35">
      <c r="A94" s="35" t="s">
        <v>186</v>
      </c>
      <c r="B94" s="36" t="s">
        <v>187</v>
      </c>
      <c r="C94" s="40">
        <f>C62</f>
        <v>0.08</v>
      </c>
      <c r="D94" s="131">
        <f>C94*D95</f>
        <v>2335.5300000000002</v>
      </c>
    </row>
    <row r="95" spans="1:4" ht="15" customHeight="1" outlineLevel="3" x14ac:dyDescent="0.35">
      <c r="A95" s="35" t="s">
        <v>188</v>
      </c>
      <c r="B95" s="41" t="s">
        <v>116</v>
      </c>
      <c r="C95" s="42" t="s">
        <v>152</v>
      </c>
      <c r="D95" s="132">
        <f>SUM(D96:D98)</f>
        <v>29194.17</v>
      </c>
    </row>
    <row r="96" spans="1:4" ht="15" customHeight="1" outlineLevel="3" x14ac:dyDescent="0.35">
      <c r="A96" s="37" t="s">
        <v>189</v>
      </c>
      <c r="B96" s="38" t="s">
        <v>190</v>
      </c>
      <c r="C96" s="43">
        <f>C12-C98</f>
        <v>19</v>
      </c>
      <c r="D96" s="131">
        <f>D39*C96</f>
        <v>25175</v>
      </c>
    </row>
    <row r="97" spans="1:4" ht="15" customHeight="1" outlineLevel="3" x14ac:dyDescent="0.35">
      <c r="A97" s="37" t="s">
        <v>191</v>
      </c>
      <c r="B97" s="38" t="s">
        <v>192</v>
      </c>
      <c r="C97" s="44">
        <f>C12/12</f>
        <v>1.7</v>
      </c>
      <c r="D97" s="131">
        <f>D39*C97</f>
        <v>2252.5</v>
      </c>
    </row>
    <row r="98" spans="1:4" ht="15" customHeight="1" outlineLevel="3" x14ac:dyDescent="0.35">
      <c r="A98" s="37" t="s">
        <v>193</v>
      </c>
      <c r="B98" s="38" t="s">
        <v>194</v>
      </c>
      <c r="C98" s="42">
        <f>IF(C12&gt;60,5,IF(C12&gt;48,4,IF(C12&gt;36,3,IF(C12&gt;24,2,IF(C12&gt;12,1,0)))))</f>
        <v>1</v>
      </c>
      <c r="D98" s="132">
        <f>D39*C98*1.33333333333333</f>
        <v>1766.67</v>
      </c>
    </row>
    <row r="99" spans="1:4" ht="15" customHeight="1" outlineLevel="1" x14ac:dyDescent="0.35">
      <c r="A99" s="644" t="s">
        <v>11</v>
      </c>
      <c r="B99" s="645"/>
      <c r="C99" s="67">
        <f>'SR - ASG int'!C99</f>
        <v>5.5500000000000001E-2</v>
      </c>
      <c r="D99" s="116">
        <f>IF(C99&gt;1,D88+D93,(D88+D93)*C99)</f>
        <v>155.47999999999999</v>
      </c>
    </row>
    <row r="100" spans="1:4" ht="15" customHeight="1" outlineLevel="1" x14ac:dyDescent="0.35">
      <c r="A100" s="658"/>
      <c r="B100" s="659"/>
      <c r="C100" s="659"/>
      <c r="D100" s="660"/>
    </row>
    <row r="101" spans="1:4" ht="15" customHeight="1" outlineLevel="1" x14ac:dyDescent="0.35">
      <c r="A101" s="64" t="s">
        <v>195</v>
      </c>
      <c r="B101" s="109" t="s">
        <v>196</v>
      </c>
      <c r="C101" s="110" t="s">
        <v>44</v>
      </c>
      <c r="D101" s="110" t="s">
        <v>35</v>
      </c>
    </row>
    <row r="102" spans="1:4" ht="15" customHeight="1" outlineLevel="2" x14ac:dyDescent="0.35">
      <c r="A102" s="35" t="s">
        <v>36</v>
      </c>
      <c r="B102" s="41" t="s">
        <v>197</v>
      </c>
      <c r="C102" s="45">
        <f>IF(C111&gt;1,(1/30*7)*2,(1/30*7))</f>
        <v>0.23330000000000001</v>
      </c>
      <c r="D102" s="132">
        <f>C102*SUM(D103:D107)</f>
        <v>616.71</v>
      </c>
    </row>
    <row r="103" spans="1:4" ht="15" customHeight="1" outlineLevel="3" x14ac:dyDescent="0.35">
      <c r="A103" s="37" t="s">
        <v>177</v>
      </c>
      <c r="B103" s="38" t="s">
        <v>198</v>
      </c>
      <c r="C103" s="35">
        <v>1</v>
      </c>
      <c r="D103" s="131">
        <f>D39</f>
        <v>1325</v>
      </c>
    </row>
    <row r="104" spans="1:4" ht="15" customHeight="1" outlineLevel="3" x14ac:dyDescent="0.35">
      <c r="A104" s="37" t="s">
        <v>179</v>
      </c>
      <c r="B104" s="38" t="s">
        <v>199</v>
      </c>
      <c r="C104" s="29">
        <f>1/12</f>
        <v>8.3299999999999999E-2</v>
      </c>
      <c r="D104" s="131">
        <f>C104*D103</f>
        <v>110.37</v>
      </c>
    </row>
    <row r="105" spans="1:4" ht="15" customHeight="1" outlineLevel="3" x14ac:dyDescent="0.35">
      <c r="A105" s="37" t="s">
        <v>181</v>
      </c>
      <c r="B105" s="38" t="s">
        <v>200</v>
      </c>
      <c r="C105" s="29">
        <f>(1/12)+(1/12/3)</f>
        <v>0.1111</v>
      </c>
      <c r="D105" s="131">
        <f>C105*D103</f>
        <v>147.21</v>
      </c>
    </row>
    <row r="106" spans="1:4" ht="15" customHeight="1" outlineLevel="3" x14ac:dyDescent="0.35">
      <c r="A106" s="37" t="s">
        <v>183</v>
      </c>
      <c r="B106" s="46" t="s">
        <v>63</v>
      </c>
      <c r="C106" s="47">
        <f>C63</f>
        <v>0.36799999999999999</v>
      </c>
      <c r="D106" s="132">
        <f>C106*(D103+D104)</f>
        <v>528.22</v>
      </c>
    </row>
    <row r="107" spans="1:4" ht="15" customHeight="1" outlineLevel="3" x14ac:dyDescent="0.35">
      <c r="A107" s="37" t="s">
        <v>201</v>
      </c>
      <c r="B107" s="46" t="s">
        <v>202</v>
      </c>
      <c r="C107" s="42">
        <v>1</v>
      </c>
      <c r="D107" s="132">
        <f>D77</f>
        <v>532.64</v>
      </c>
    </row>
    <row r="108" spans="1:4" ht="15" customHeight="1" outlineLevel="2" x14ac:dyDescent="0.35">
      <c r="A108" s="35" t="s">
        <v>16</v>
      </c>
      <c r="B108" s="36" t="s">
        <v>203</v>
      </c>
      <c r="C108" s="40">
        <v>0.4</v>
      </c>
      <c r="D108" s="131">
        <f>C108*D109</f>
        <v>934.21</v>
      </c>
    </row>
    <row r="109" spans="1:4" ht="15" customHeight="1" outlineLevel="2" x14ac:dyDescent="0.35">
      <c r="A109" s="35" t="s">
        <v>186</v>
      </c>
      <c r="B109" s="36" t="s">
        <v>187</v>
      </c>
      <c r="C109" s="40">
        <f>C62</f>
        <v>0.08</v>
      </c>
      <c r="D109" s="131">
        <f>C109*D110</f>
        <v>2335.5300000000002</v>
      </c>
    </row>
    <row r="110" spans="1:4" ht="15" customHeight="1" outlineLevel="2" x14ac:dyDescent="0.35">
      <c r="A110" s="35" t="s">
        <v>188</v>
      </c>
      <c r="B110" s="41" t="s">
        <v>116</v>
      </c>
      <c r="C110" s="42" t="s">
        <v>152</v>
      </c>
      <c r="D110" s="132">
        <f>D95</f>
        <v>29194.17</v>
      </c>
    </row>
    <row r="111" spans="1:4" ht="15" customHeight="1" outlineLevel="1" x14ac:dyDescent="0.35">
      <c r="A111" s="644" t="s">
        <v>11</v>
      </c>
      <c r="B111" s="645"/>
      <c r="C111" s="67">
        <f>'SR - ASG int'!C111</f>
        <v>0.94450000000000001</v>
      </c>
      <c r="D111" s="116">
        <f>IF(C111&gt;1,D102+D108,(D102+D108)*C111)</f>
        <v>1464.84</v>
      </c>
    </row>
    <row r="112" spans="1:4" ht="15" customHeight="1" outlineLevel="1" x14ac:dyDescent="0.35">
      <c r="A112" s="658"/>
      <c r="B112" s="659"/>
      <c r="C112" s="659"/>
      <c r="D112" s="660"/>
    </row>
    <row r="113" spans="1:4" ht="15" customHeight="1" outlineLevel="1" x14ac:dyDescent="0.35">
      <c r="A113" s="64" t="s">
        <v>204</v>
      </c>
      <c r="B113" s="109" t="s">
        <v>205</v>
      </c>
      <c r="C113" s="110" t="s">
        <v>44</v>
      </c>
      <c r="D113" s="110" t="s">
        <v>35</v>
      </c>
    </row>
    <row r="114" spans="1:4" ht="15" customHeight="1" outlineLevel="2" x14ac:dyDescent="0.35">
      <c r="A114" s="111" t="s">
        <v>36</v>
      </c>
      <c r="B114" s="31" t="s">
        <v>206</v>
      </c>
      <c r="C114" s="34">
        <f>IF(C12&gt;60,(D39/12*(C12-60))/C12/D39,IF(C12&gt;48,(D39/12*(C12-48))/C12/D39,IF(C12&gt;36,(D39/12*(C12-36))/C12/D39,IF(C12&gt;24,(D39/12*(C12-24))/C12/D39,IF(C12&gt;12,((D39/12*(C12-12))/C12/D39),1/12)))))</f>
        <v>3.3300000000000003E-2</v>
      </c>
      <c r="D114" s="133">
        <f>C114*D39</f>
        <v>44.12</v>
      </c>
    </row>
    <row r="115" spans="1:4" ht="15" customHeight="1" outlineLevel="2" x14ac:dyDescent="0.35">
      <c r="A115" s="111" t="s">
        <v>16</v>
      </c>
      <c r="B115" s="48" t="s">
        <v>207</v>
      </c>
      <c r="C115" s="34">
        <f>C114/3</f>
        <v>1.11E-2</v>
      </c>
      <c r="D115" s="134">
        <f>C115*D39</f>
        <v>14.71</v>
      </c>
    </row>
    <row r="116" spans="1:4" ht="15" customHeight="1" outlineLevel="1" x14ac:dyDescent="0.35">
      <c r="A116" s="644" t="s">
        <v>11</v>
      </c>
      <c r="B116" s="645"/>
      <c r="C116" s="30">
        <f>C114+C115</f>
        <v>4.4400000000000002E-2</v>
      </c>
      <c r="D116" s="116">
        <f>SUM(D114:D115)</f>
        <v>58.83</v>
      </c>
    </row>
    <row r="117" spans="1:4" ht="15" customHeight="1" outlineLevel="1" x14ac:dyDescent="0.35">
      <c r="A117" s="658"/>
      <c r="B117" s="659"/>
      <c r="C117" s="659"/>
      <c r="D117" s="660"/>
    </row>
    <row r="118" spans="1:4" ht="15" customHeight="1" outlineLevel="1" x14ac:dyDescent="0.35">
      <c r="A118" s="661" t="s">
        <v>208</v>
      </c>
      <c r="B118" s="662"/>
      <c r="C118" s="110" t="s">
        <v>44</v>
      </c>
      <c r="D118" s="110" t="s">
        <v>35</v>
      </c>
    </row>
    <row r="119" spans="1:4" ht="15" customHeight="1" outlineLevel="1" x14ac:dyDescent="0.35">
      <c r="A119" s="111" t="s">
        <v>174</v>
      </c>
      <c r="B119" s="31" t="s">
        <v>175</v>
      </c>
      <c r="C119" s="34">
        <f>C99</f>
        <v>5.5500000000000001E-2</v>
      </c>
      <c r="D119" s="104">
        <f>D99</f>
        <v>155.47999999999999</v>
      </c>
    </row>
    <row r="120" spans="1:4" ht="15" customHeight="1" outlineLevel="1" x14ac:dyDescent="0.35">
      <c r="A120" s="113" t="s">
        <v>195</v>
      </c>
      <c r="B120" s="31" t="s">
        <v>196</v>
      </c>
      <c r="C120" s="49">
        <f>C111</f>
        <v>0.94450000000000001</v>
      </c>
      <c r="D120" s="104">
        <f>D111</f>
        <v>1464.84</v>
      </c>
    </row>
    <row r="121" spans="1:4" ht="15" customHeight="1" outlineLevel="1" x14ac:dyDescent="0.35">
      <c r="A121" s="679" t="s">
        <v>209</v>
      </c>
      <c r="B121" s="679"/>
      <c r="C121" s="679"/>
      <c r="D121" s="135">
        <f>D119+D120</f>
        <v>1620.32</v>
      </c>
    </row>
    <row r="122" spans="1:4" ht="15" customHeight="1" outlineLevel="1" x14ac:dyDescent="0.35">
      <c r="A122" s="675" t="s">
        <v>210</v>
      </c>
      <c r="B122" s="676"/>
      <c r="C122" s="68">
        <f>'SR - ASG int'!C122</f>
        <v>0.63570000000000004</v>
      </c>
      <c r="D122" s="58">
        <f>C122*D121</f>
        <v>1030.04</v>
      </c>
    </row>
    <row r="123" spans="1:4" ht="15" customHeight="1" outlineLevel="1" x14ac:dyDescent="0.35">
      <c r="A123" s="675" t="s">
        <v>211</v>
      </c>
      <c r="B123" s="676"/>
      <c r="C123" s="68">
        <f>'SR - ASG int'!C123</f>
        <v>1.0999999999999999E-2</v>
      </c>
      <c r="D123" s="58">
        <f>(D50+(D116/2))*-C123</f>
        <v>-1.54</v>
      </c>
    </row>
    <row r="124" spans="1:4" ht="15" customHeight="1" outlineLevel="1" x14ac:dyDescent="0.35">
      <c r="A124" s="677" t="s">
        <v>212</v>
      </c>
      <c r="B124" s="678"/>
      <c r="C124" s="72">
        <f>1/C12</f>
        <v>0.05</v>
      </c>
      <c r="D124" s="59">
        <f>(D122+D123)*C124</f>
        <v>51.43</v>
      </c>
    </row>
    <row r="125" spans="1:4" ht="15" customHeight="1" outlineLevel="1" x14ac:dyDescent="0.35">
      <c r="A125" s="113" t="s">
        <v>204</v>
      </c>
      <c r="B125" s="31" t="s">
        <v>213</v>
      </c>
      <c r="C125" s="49"/>
      <c r="D125" s="124">
        <f>D116</f>
        <v>58.83</v>
      </c>
    </row>
    <row r="126" spans="1:4" ht="15" customHeight="1" x14ac:dyDescent="0.35">
      <c r="A126" s="644" t="s">
        <v>11</v>
      </c>
      <c r="B126" s="645"/>
      <c r="C126" s="30"/>
      <c r="D126" s="136">
        <f>D124+D125</f>
        <v>110.26</v>
      </c>
    </row>
    <row r="127" spans="1:4" ht="15" customHeight="1" x14ac:dyDescent="0.35">
      <c r="A127" s="646"/>
      <c r="B127" s="647"/>
      <c r="C127" s="647"/>
      <c r="D127" s="648"/>
    </row>
    <row r="128" spans="1:4" ht="15" customHeight="1" x14ac:dyDescent="0.35">
      <c r="A128" s="663" t="s">
        <v>64</v>
      </c>
      <c r="B128" s="664"/>
      <c r="C128" s="664"/>
      <c r="D128" s="665"/>
    </row>
    <row r="129" spans="1:4" ht="15" customHeight="1" outlineLevel="1" x14ac:dyDescent="0.35">
      <c r="A129" s="658"/>
      <c r="B129" s="659"/>
      <c r="C129" s="659"/>
      <c r="D129" s="660"/>
    </row>
    <row r="130" spans="1:4" ht="15" customHeight="1" outlineLevel="1" x14ac:dyDescent="0.35">
      <c r="A130" s="110" t="s">
        <v>65</v>
      </c>
      <c r="B130" s="117" t="s">
        <v>214</v>
      </c>
      <c r="C130" s="30" t="s">
        <v>44</v>
      </c>
      <c r="D130" s="110" t="s">
        <v>35</v>
      </c>
    </row>
    <row r="131" spans="1:4" ht="15" customHeight="1" outlineLevel="2" x14ac:dyDescent="0.35">
      <c r="A131" s="137" t="s">
        <v>36</v>
      </c>
      <c r="B131" s="89" t="s">
        <v>66</v>
      </c>
      <c r="C131" s="50">
        <f>IF(C12&gt;60,5/C12,IF(C12&gt;48,4/C12,IF(C12&gt;36,3/C12,IF(C12&gt;24,2/C12,IF(C12&gt;12,1/C12,0)))))</f>
        <v>0.05</v>
      </c>
      <c r="D131" s="133">
        <f>SUM(D132:D136)</f>
        <v>85.67</v>
      </c>
    </row>
    <row r="132" spans="1:4" ht="15" customHeight="1" outlineLevel="3" x14ac:dyDescent="0.35">
      <c r="A132" s="138" t="s">
        <v>215</v>
      </c>
      <c r="B132" s="90" t="s">
        <v>216</v>
      </c>
      <c r="C132" s="139">
        <f>D39</f>
        <v>1325</v>
      </c>
      <c r="D132" s="140">
        <f>$C$131*(D39)-($C$131*(D39)*C137/3)</f>
        <v>66.25</v>
      </c>
    </row>
    <row r="133" spans="1:4" ht="15" customHeight="1" outlineLevel="3" x14ac:dyDescent="0.35">
      <c r="A133" s="138" t="s">
        <v>217</v>
      </c>
      <c r="B133" s="90" t="s">
        <v>218</v>
      </c>
      <c r="C133" s="139">
        <f>(D50)</f>
        <v>110.37</v>
      </c>
      <c r="D133" s="140">
        <f>$C$131*C133-($C$131*C133*C137/3)</f>
        <v>5.52</v>
      </c>
    </row>
    <row r="134" spans="1:4" ht="15" customHeight="1" outlineLevel="3" x14ac:dyDescent="0.35">
      <c r="A134" s="138" t="s">
        <v>219</v>
      </c>
      <c r="B134" s="90" t="s">
        <v>220</v>
      </c>
      <c r="C134" s="141">
        <f>(D39/12)+(D51*IF(C12&gt;60,((C12-60)*(1/60))+1,IF(C12&gt;48,((C12-48)*(1/48))+1,IF(C12&gt;36,((C12-36)*(1/36))+1,IF(C12&gt;24,((C12-24)*(1/24))+1,IF(C12&gt;12,((C12-12)*(1/12))+1,1))))))</f>
        <v>147.30000000000001</v>
      </c>
      <c r="D134" s="140">
        <f>$C$131*C134-($C$131*C134*C137/3)</f>
        <v>7.37</v>
      </c>
    </row>
    <row r="135" spans="1:4" ht="15" customHeight="1" outlineLevel="3" x14ac:dyDescent="0.35">
      <c r="A135" s="138" t="s">
        <v>221</v>
      </c>
      <c r="B135" s="90" t="s">
        <v>222</v>
      </c>
      <c r="C135" s="91">
        <f>C63</f>
        <v>0.36799999999999999</v>
      </c>
      <c r="D135" s="140">
        <f>SUM(D132:D134)*C131</f>
        <v>3.96</v>
      </c>
    </row>
    <row r="136" spans="1:4" ht="15" customHeight="1" outlineLevel="3" x14ac:dyDescent="0.35">
      <c r="A136" s="138" t="s">
        <v>223</v>
      </c>
      <c r="B136" s="90" t="s">
        <v>224</v>
      </c>
      <c r="C136" s="141">
        <f>D124</f>
        <v>51.43</v>
      </c>
      <c r="D136" s="140">
        <f>C136*C131</f>
        <v>2.57</v>
      </c>
    </row>
    <row r="137" spans="1:4" ht="15" customHeight="1" outlineLevel="2" x14ac:dyDescent="0.35">
      <c r="A137" s="111" t="s">
        <v>16</v>
      </c>
      <c r="B137" s="31" t="s">
        <v>225</v>
      </c>
      <c r="C137" s="92">
        <v>0</v>
      </c>
      <c r="D137" s="124">
        <f>$C$131*(D39)*(C137/3)</f>
        <v>0</v>
      </c>
    </row>
    <row r="138" spans="1:4" ht="15" customHeight="1" outlineLevel="1" x14ac:dyDescent="0.35">
      <c r="A138" s="644" t="s">
        <v>226</v>
      </c>
      <c r="B138" s="645"/>
      <c r="C138" s="30">
        <f>C131+(D137/D39)</f>
        <v>0.05</v>
      </c>
      <c r="D138" s="116">
        <f>SUM(D131:D137)</f>
        <v>171.34</v>
      </c>
    </row>
    <row r="139" spans="1:4" ht="15" customHeight="1" outlineLevel="1" x14ac:dyDescent="0.35">
      <c r="A139" s="658"/>
      <c r="B139" s="659"/>
      <c r="C139" s="659"/>
      <c r="D139" s="660"/>
    </row>
    <row r="140" spans="1:4" ht="15" customHeight="1" outlineLevel="2" x14ac:dyDescent="0.35">
      <c r="A140" s="668" t="s">
        <v>227</v>
      </c>
      <c r="B140" s="142" t="s">
        <v>190</v>
      </c>
      <c r="C140" s="93">
        <v>220</v>
      </c>
      <c r="D140" s="143">
        <f>D39</f>
        <v>1325</v>
      </c>
    </row>
    <row r="141" spans="1:4" ht="15" customHeight="1" outlineLevel="2" x14ac:dyDescent="0.35">
      <c r="A141" s="669"/>
      <c r="B141" s="142" t="s">
        <v>228</v>
      </c>
      <c r="C141" s="50">
        <f>(1+(1/3)+1)/12</f>
        <v>0.19439999999999999</v>
      </c>
      <c r="D141" s="144">
        <f>D140*C141</f>
        <v>257.58</v>
      </c>
    </row>
    <row r="142" spans="1:4" ht="15" customHeight="1" outlineLevel="2" x14ac:dyDescent="0.35">
      <c r="A142" s="669"/>
      <c r="B142" s="142" t="s">
        <v>229</v>
      </c>
      <c r="C142" s="50">
        <f>C63</f>
        <v>0.36799999999999999</v>
      </c>
      <c r="D142" s="144">
        <f>(D140+D141)*C142</f>
        <v>582.39</v>
      </c>
    </row>
    <row r="143" spans="1:4" ht="15" customHeight="1" outlineLevel="2" x14ac:dyDescent="0.35">
      <c r="A143" s="669"/>
      <c r="B143" s="142" t="s">
        <v>230</v>
      </c>
      <c r="C143" s="50">
        <f>D143/D140</f>
        <v>0.40200000000000002</v>
      </c>
      <c r="D143" s="144">
        <f>D77</f>
        <v>532.64</v>
      </c>
    </row>
    <row r="144" spans="1:4" ht="15" customHeight="1" outlineLevel="2" x14ac:dyDescent="0.35">
      <c r="A144" s="670"/>
      <c r="B144" s="145" t="s">
        <v>231</v>
      </c>
      <c r="C144" s="50">
        <f>D144/D140</f>
        <v>3.8800000000000001E-2</v>
      </c>
      <c r="D144" s="144">
        <f>D124</f>
        <v>51.43</v>
      </c>
    </row>
    <row r="145" spans="1:4" ht="15" customHeight="1" outlineLevel="2" x14ac:dyDescent="0.35">
      <c r="A145" s="671" t="s">
        <v>232</v>
      </c>
      <c r="B145" s="672"/>
      <c r="C145" s="94">
        <f>D145/D140</f>
        <v>2.0747</v>
      </c>
      <c r="D145" s="146">
        <f>SUM(D140:D144)</f>
        <v>2749.04</v>
      </c>
    </row>
    <row r="146" spans="1:4" ht="15" customHeight="1" outlineLevel="2" x14ac:dyDescent="0.35">
      <c r="A146" s="673"/>
      <c r="B146" s="673"/>
      <c r="C146" s="673"/>
      <c r="D146" s="674"/>
    </row>
    <row r="147" spans="1:4" ht="15" customHeight="1" outlineLevel="1" x14ac:dyDescent="0.35">
      <c r="A147" s="110" t="s">
        <v>233</v>
      </c>
      <c r="B147" s="117" t="s">
        <v>234</v>
      </c>
      <c r="C147" s="30" t="s">
        <v>44</v>
      </c>
      <c r="D147" s="110" t="s">
        <v>35</v>
      </c>
    </row>
    <row r="148" spans="1:4" ht="15" customHeight="1" outlineLevel="2" x14ac:dyDescent="0.35">
      <c r="A148" s="111" t="s">
        <v>16</v>
      </c>
      <c r="B148" s="31" t="s">
        <v>118</v>
      </c>
      <c r="C148" s="77">
        <f>5/252</f>
        <v>1.9800000000000002E-2</v>
      </c>
      <c r="D148" s="133">
        <f>C148*$D$145</f>
        <v>54.43</v>
      </c>
    </row>
    <row r="149" spans="1:4" ht="15" customHeight="1" outlineLevel="2" x14ac:dyDescent="0.35">
      <c r="A149" s="111" t="s">
        <v>17</v>
      </c>
      <c r="B149" s="31" t="s">
        <v>119</v>
      </c>
      <c r="C149" s="77">
        <f>1.383/252</f>
        <v>5.4999999999999997E-3</v>
      </c>
      <c r="D149" s="133">
        <f>C149*$D$145</f>
        <v>15.12</v>
      </c>
    </row>
    <row r="150" spans="1:4" ht="15" customHeight="1" outlineLevel="2" x14ac:dyDescent="0.35">
      <c r="A150" s="111" t="s">
        <v>19</v>
      </c>
      <c r="B150" s="31" t="s">
        <v>117</v>
      </c>
      <c r="C150" s="77">
        <f>1.3892/252</f>
        <v>5.4999999999999997E-3</v>
      </c>
      <c r="D150" s="133">
        <f t="shared" ref="D150:D153" si="1">C150*$D$145</f>
        <v>15.12</v>
      </c>
    </row>
    <row r="151" spans="1:4" ht="15" customHeight="1" outlineLevel="2" x14ac:dyDescent="0.35">
      <c r="A151" s="111" t="s">
        <v>22</v>
      </c>
      <c r="B151" s="31" t="s">
        <v>67</v>
      </c>
      <c r="C151" s="77">
        <f>0.65/252</f>
        <v>2.5999999999999999E-3</v>
      </c>
      <c r="D151" s="133">
        <f t="shared" si="1"/>
        <v>7.15</v>
      </c>
    </row>
    <row r="152" spans="1:4" outlineLevel="2" x14ac:dyDescent="0.35">
      <c r="A152" s="111" t="s">
        <v>24</v>
      </c>
      <c r="B152" s="31" t="s">
        <v>68</v>
      </c>
      <c r="C152" s="77">
        <f>0.5052/252</f>
        <v>2E-3</v>
      </c>
      <c r="D152" s="133">
        <f t="shared" si="1"/>
        <v>5.5</v>
      </c>
    </row>
    <row r="153" spans="1:4" outlineLevel="2" x14ac:dyDescent="0.35">
      <c r="A153" s="111" t="s">
        <v>36</v>
      </c>
      <c r="B153" s="61" t="s">
        <v>235</v>
      </c>
      <c r="C153" s="69">
        <f>0.2/252</f>
        <v>8.0000000000000004E-4</v>
      </c>
      <c r="D153" s="133">
        <f t="shared" si="1"/>
        <v>2.2000000000000002</v>
      </c>
    </row>
    <row r="154" spans="1:4" outlineLevel="1" x14ac:dyDescent="0.35">
      <c r="A154" s="644" t="s">
        <v>226</v>
      </c>
      <c r="B154" s="645"/>
      <c r="C154" s="30">
        <f>SUM(C148:C153)</f>
        <v>3.6200000000000003E-2</v>
      </c>
      <c r="D154" s="116">
        <f>SUM(D148:D153)</f>
        <v>99.52</v>
      </c>
    </row>
    <row r="155" spans="1:4" outlineLevel="1" x14ac:dyDescent="0.35">
      <c r="A155" s="658"/>
      <c r="B155" s="659"/>
      <c r="C155" s="659"/>
      <c r="D155" s="660"/>
    </row>
    <row r="156" spans="1:4" outlineLevel="1" x14ac:dyDescent="0.35">
      <c r="A156" s="661" t="s">
        <v>236</v>
      </c>
      <c r="B156" s="666"/>
      <c r="C156" s="30" t="s">
        <v>237</v>
      </c>
      <c r="D156" s="110" t="s">
        <v>35</v>
      </c>
    </row>
    <row r="157" spans="1:4" outlineLevel="2" x14ac:dyDescent="0.4">
      <c r="A157" s="667" t="s">
        <v>238</v>
      </c>
      <c r="B157" s="142" t="s">
        <v>239</v>
      </c>
      <c r="C157" s="95">
        <f>C153</f>
        <v>8.0000000000000004E-4</v>
      </c>
      <c r="D157" s="147">
        <f>C157*-D140</f>
        <v>-1.06</v>
      </c>
    </row>
    <row r="158" spans="1:4" outlineLevel="2" x14ac:dyDescent="0.4">
      <c r="A158" s="667"/>
      <c r="B158" s="148" t="s">
        <v>240</v>
      </c>
      <c r="C158" s="96">
        <v>0</v>
      </c>
      <c r="D158" s="149">
        <f>C158*-(D140/220/24*5)</f>
        <v>0</v>
      </c>
    </row>
    <row r="159" spans="1:4" outlineLevel="2" x14ac:dyDescent="0.4">
      <c r="A159" s="667"/>
      <c r="B159" s="148" t="s">
        <v>241</v>
      </c>
      <c r="C159" s="96">
        <v>0</v>
      </c>
      <c r="D159" s="149">
        <f>C159*-D141</f>
        <v>0</v>
      </c>
    </row>
    <row r="160" spans="1:4" outlineLevel="2" x14ac:dyDescent="0.4">
      <c r="A160" s="667"/>
      <c r="B160" s="142" t="s">
        <v>242</v>
      </c>
      <c r="C160" s="95">
        <f>C154</f>
        <v>3.6200000000000003E-2</v>
      </c>
      <c r="D160" s="147">
        <f>C160*-D66</f>
        <v>-4.13</v>
      </c>
    </row>
    <row r="161" spans="1:4" outlineLevel="2" x14ac:dyDescent="0.4">
      <c r="A161" s="667"/>
      <c r="B161" s="142" t="s">
        <v>243</v>
      </c>
      <c r="C161" s="95">
        <f>C154</f>
        <v>3.6200000000000003E-2</v>
      </c>
      <c r="D161" s="147">
        <f>C161*-D69</f>
        <v>-10.5</v>
      </c>
    </row>
    <row r="162" spans="1:4" outlineLevel="2" x14ac:dyDescent="0.4">
      <c r="A162" s="667"/>
      <c r="B162" s="145" t="s">
        <v>244</v>
      </c>
      <c r="C162" s="95">
        <f>C153</f>
        <v>8.0000000000000004E-4</v>
      </c>
      <c r="D162" s="147">
        <f>C162*-D74</f>
        <v>-0.02</v>
      </c>
    </row>
    <row r="163" spans="1:4" outlineLevel="2" x14ac:dyDescent="0.35">
      <c r="A163" s="667"/>
      <c r="B163" s="145" t="s">
        <v>245</v>
      </c>
      <c r="C163" s="97">
        <f>C152</f>
        <v>2E-3</v>
      </c>
      <c r="D163" s="133">
        <f>C163*-SUM(D55:D61)</f>
        <v>-0.84</v>
      </c>
    </row>
    <row r="164" spans="1:4" outlineLevel="2" x14ac:dyDescent="0.4">
      <c r="A164" s="667"/>
      <c r="B164" s="142" t="s">
        <v>246</v>
      </c>
      <c r="C164" s="95">
        <f>C153</f>
        <v>8.0000000000000004E-4</v>
      </c>
      <c r="D164" s="147">
        <f>C164*-D142</f>
        <v>-0.47</v>
      </c>
    </row>
    <row r="165" spans="1:4" outlineLevel="1" x14ac:dyDescent="0.35">
      <c r="A165" s="644" t="s">
        <v>247</v>
      </c>
      <c r="B165" s="645"/>
      <c r="C165" s="30">
        <f>D165/D140</f>
        <v>-1.2800000000000001E-2</v>
      </c>
      <c r="D165" s="116">
        <f>SUM(D157:D164)</f>
        <v>-17.02</v>
      </c>
    </row>
    <row r="166" spans="1:4" outlineLevel="1" x14ac:dyDescent="0.35">
      <c r="A166" s="658"/>
      <c r="B166" s="659"/>
      <c r="C166" s="659"/>
      <c r="D166" s="660"/>
    </row>
    <row r="167" spans="1:4" outlineLevel="1" x14ac:dyDescent="0.35">
      <c r="A167" s="644" t="s">
        <v>248</v>
      </c>
      <c r="B167" s="645"/>
      <c r="C167" s="30">
        <f>D167/D140</f>
        <v>6.2300000000000001E-2</v>
      </c>
      <c r="D167" s="116">
        <f>D154+D165</f>
        <v>82.5</v>
      </c>
    </row>
    <row r="168" spans="1:4" outlineLevel="1" x14ac:dyDescent="0.35">
      <c r="A168" s="658"/>
      <c r="B168" s="659"/>
      <c r="C168" s="659"/>
      <c r="D168" s="660"/>
    </row>
    <row r="169" spans="1:4" outlineLevel="1" x14ac:dyDescent="0.35">
      <c r="A169" s="661" t="s">
        <v>249</v>
      </c>
      <c r="B169" s="662"/>
      <c r="C169" s="110" t="s">
        <v>44</v>
      </c>
      <c r="D169" s="110" t="s">
        <v>35</v>
      </c>
    </row>
    <row r="170" spans="1:4" outlineLevel="1" x14ac:dyDescent="0.35">
      <c r="A170" s="111" t="s">
        <v>65</v>
      </c>
      <c r="B170" s="31" t="s">
        <v>214</v>
      </c>
      <c r="C170" s="34"/>
      <c r="D170" s="150">
        <f>D138</f>
        <v>171.34</v>
      </c>
    </row>
    <row r="171" spans="1:4" outlineLevel="1" x14ac:dyDescent="0.35">
      <c r="A171" s="111" t="s">
        <v>233</v>
      </c>
      <c r="B171" s="31" t="s">
        <v>234</v>
      </c>
      <c r="C171" s="34"/>
      <c r="D171" s="150">
        <f>D167</f>
        <v>82.5</v>
      </c>
    </row>
    <row r="172" spans="1:4" x14ac:dyDescent="0.35">
      <c r="A172" s="644" t="s">
        <v>11</v>
      </c>
      <c r="B172" s="657"/>
      <c r="C172" s="645"/>
      <c r="D172" s="119">
        <f>SUM(D170:D171)</f>
        <v>253.84</v>
      </c>
    </row>
    <row r="173" spans="1:4" x14ac:dyDescent="0.35">
      <c r="A173" s="658"/>
      <c r="B173" s="659"/>
      <c r="C173" s="659"/>
      <c r="D173" s="660"/>
    </row>
    <row r="174" spans="1:4" x14ac:dyDescent="0.35">
      <c r="A174" s="663" t="s">
        <v>69</v>
      </c>
      <c r="B174" s="664"/>
      <c r="C174" s="664"/>
      <c r="D174" s="665"/>
    </row>
    <row r="175" spans="1:4" outlineLevel="1" x14ac:dyDescent="0.35">
      <c r="A175" s="658"/>
      <c r="B175" s="659"/>
      <c r="C175" s="659"/>
      <c r="D175" s="660"/>
    </row>
    <row r="176" spans="1:4" outlineLevel="1" x14ac:dyDescent="0.35">
      <c r="A176" s="64">
        <v>5</v>
      </c>
      <c r="B176" s="644" t="s">
        <v>250</v>
      </c>
      <c r="C176" s="645"/>
      <c r="D176" s="110" t="s">
        <v>35</v>
      </c>
    </row>
    <row r="177" spans="1:4" outlineLevel="1" x14ac:dyDescent="0.35">
      <c r="A177" s="111" t="s">
        <v>36</v>
      </c>
      <c r="B177" s="655" t="s">
        <v>343</v>
      </c>
      <c r="C177" s="656"/>
      <c r="D177" s="133">
        <f>INSUMOS!H12</f>
        <v>25.07</v>
      </c>
    </row>
    <row r="178" spans="1:4" outlineLevel="1" x14ac:dyDescent="0.35">
      <c r="A178" s="111" t="s">
        <v>16</v>
      </c>
      <c r="B178" s="655" t="s">
        <v>369</v>
      </c>
      <c r="C178" s="656"/>
      <c r="D178" s="151">
        <f>INSUMOS!H29</f>
        <v>11.34</v>
      </c>
    </row>
    <row r="179" spans="1:4" outlineLevel="1" x14ac:dyDescent="0.35">
      <c r="A179" s="111" t="s">
        <v>17</v>
      </c>
      <c r="B179" s="640" t="s">
        <v>326</v>
      </c>
      <c r="C179" s="642"/>
      <c r="D179" s="151">
        <f>MATERIAIS!G144</f>
        <v>352.79</v>
      </c>
    </row>
    <row r="180" spans="1:4" outlineLevel="1" x14ac:dyDescent="0.35">
      <c r="A180" s="111" t="s">
        <v>19</v>
      </c>
      <c r="B180" s="640" t="s">
        <v>325</v>
      </c>
      <c r="C180" s="642"/>
      <c r="D180" s="151">
        <f>EQUIPAMENTOS!G145</f>
        <v>10.61</v>
      </c>
    </row>
    <row r="181" spans="1:4" outlineLevel="1" x14ac:dyDescent="0.35">
      <c r="A181" s="111" t="s">
        <v>22</v>
      </c>
      <c r="B181" s="705" t="s">
        <v>39</v>
      </c>
      <c r="C181" s="706"/>
      <c r="D181" s="130">
        <v>0</v>
      </c>
    </row>
    <row r="182" spans="1:4" outlineLevel="1" x14ac:dyDescent="0.35">
      <c r="A182" s="111" t="s">
        <v>24</v>
      </c>
      <c r="B182" s="705" t="s">
        <v>39</v>
      </c>
      <c r="C182" s="706"/>
      <c r="D182" s="130">
        <v>0</v>
      </c>
    </row>
    <row r="183" spans="1:4" x14ac:dyDescent="0.35">
      <c r="A183" s="644" t="s">
        <v>11</v>
      </c>
      <c r="B183" s="657"/>
      <c r="C183" s="645"/>
      <c r="D183" s="116">
        <f>SUM(D177:D181)</f>
        <v>399.81</v>
      </c>
    </row>
    <row r="184" spans="1:4" x14ac:dyDescent="0.35">
      <c r="A184" s="646"/>
      <c r="B184" s="647"/>
      <c r="C184" s="647"/>
      <c r="D184" s="648"/>
    </row>
    <row r="185" spans="1:4" x14ac:dyDescent="0.35">
      <c r="A185" s="649" t="s">
        <v>70</v>
      </c>
      <c r="B185" s="649"/>
      <c r="C185" s="649"/>
      <c r="D185" s="152">
        <f>D39+D83+D126+D172+D183</f>
        <v>3290.43</v>
      </c>
    </row>
    <row r="186" spans="1:4" x14ac:dyDescent="0.35">
      <c r="A186" s="650"/>
      <c r="B186" s="650"/>
      <c r="C186" s="650"/>
      <c r="D186" s="650"/>
    </row>
    <row r="187" spans="1:4" x14ac:dyDescent="0.35">
      <c r="A187" s="651" t="s">
        <v>71</v>
      </c>
      <c r="B187" s="651"/>
      <c r="C187" s="651"/>
      <c r="D187" s="651"/>
    </row>
    <row r="188" spans="1:4" outlineLevel="1" x14ac:dyDescent="0.35">
      <c r="A188" s="652"/>
      <c r="B188" s="653"/>
      <c r="C188" s="653"/>
      <c r="D188" s="654"/>
    </row>
    <row r="189" spans="1:4" outlineLevel="1" x14ac:dyDescent="0.35">
      <c r="A189" s="64">
        <v>6</v>
      </c>
      <c r="B189" s="117" t="s">
        <v>72</v>
      </c>
      <c r="C189" s="110" t="s">
        <v>44</v>
      </c>
      <c r="D189" s="110" t="s">
        <v>35</v>
      </c>
    </row>
    <row r="190" spans="1:4" outlineLevel="1" x14ac:dyDescent="0.35">
      <c r="A190" s="111" t="s">
        <v>36</v>
      </c>
      <c r="B190" s="31" t="s">
        <v>73</v>
      </c>
      <c r="C190" s="70">
        <f>'SR - ASG int'!C189</f>
        <v>2.6499999999999999E-2</v>
      </c>
      <c r="D190" s="105">
        <f>C190*D185</f>
        <v>87.2</v>
      </c>
    </row>
    <row r="191" spans="1:4" outlineLevel="1" x14ac:dyDescent="0.35">
      <c r="A191" s="638" t="s">
        <v>1</v>
      </c>
      <c r="B191" s="639"/>
      <c r="C191" s="643"/>
      <c r="D191" s="105">
        <f>D185+D190</f>
        <v>3377.63</v>
      </c>
    </row>
    <row r="192" spans="1:4" outlineLevel="1" x14ac:dyDescent="0.35">
      <c r="A192" s="111" t="s">
        <v>16</v>
      </c>
      <c r="B192" s="31" t="s">
        <v>74</v>
      </c>
      <c r="C192" s="70">
        <f>'SR - ASG int'!C191</f>
        <v>0.1087</v>
      </c>
      <c r="D192" s="105">
        <f>C192*D191</f>
        <v>367.15</v>
      </c>
    </row>
    <row r="193" spans="1:4" outlineLevel="1" x14ac:dyDescent="0.35">
      <c r="A193" s="638" t="s">
        <v>1</v>
      </c>
      <c r="B193" s="639"/>
      <c r="C193" s="639"/>
      <c r="D193" s="105">
        <f>D192+D191</f>
        <v>3744.78</v>
      </c>
    </row>
    <row r="194" spans="1:4" outlineLevel="1" x14ac:dyDescent="0.35">
      <c r="A194" s="111" t="s">
        <v>17</v>
      </c>
      <c r="B194" s="640" t="s">
        <v>75</v>
      </c>
      <c r="C194" s="641"/>
      <c r="D194" s="642"/>
    </row>
    <row r="195" spans="1:4" outlineLevel="1" x14ac:dyDescent="0.35">
      <c r="A195" s="153"/>
      <c r="B195" s="63" t="s">
        <v>76</v>
      </c>
      <c r="C195" s="70">
        <f>'SR - ASG int'!C194</f>
        <v>6.4999999999999997E-3</v>
      </c>
      <c r="D195" s="105">
        <f>(D193/(1-C198)*C195)</f>
        <v>25.94</v>
      </c>
    </row>
    <row r="196" spans="1:4" outlineLevel="1" x14ac:dyDescent="0.35">
      <c r="A196" s="153"/>
      <c r="B196" s="63" t="s">
        <v>77</v>
      </c>
      <c r="C196" s="70">
        <f>'SR - ASG int'!C195</f>
        <v>0.03</v>
      </c>
      <c r="D196" s="105">
        <f>(D193/(1-C198)*C196)</f>
        <v>119.71</v>
      </c>
    </row>
    <row r="197" spans="1:4" outlineLevel="1" x14ac:dyDescent="0.35">
      <c r="A197" s="153"/>
      <c r="B197" s="63" t="s">
        <v>377</v>
      </c>
      <c r="C197" s="51">
        <v>2.5000000000000001E-2</v>
      </c>
      <c r="D197" s="105">
        <f>(D193/(1-C198)*C197)</f>
        <v>99.75</v>
      </c>
    </row>
    <row r="198" spans="1:4" outlineLevel="1" x14ac:dyDescent="0.35">
      <c r="A198" s="638" t="s">
        <v>78</v>
      </c>
      <c r="B198" s="643"/>
      <c r="C198" s="52">
        <f>SUM(C195:C197)</f>
        <v>6.1499999999999999E-2</v>
      </c>
      <c r="D198" s="105">
        <f>SUM(D195:D197)</f>
        <v>245.4</v>
      </c>
    </row>
    <row r="199" spans="1:4" x14ac:dyDescent="0.35">
      <c r="A199" s="644" t="s">
        <v>11</v>
      </c>
      <c r="B199" s="645"/>
      <c r="C199" s="53">
        <f>(1+C190)*(1+C192)*(1/(1-C198))-1</f>
        <v>0.2127</v>
      </c>
      <c r="D199" s="108">
        <f>SUM(D198+D190+D192)</f>
        <v>699.75</v>
      </c>
    </row>
    <row r="200" spans="1:4" x14ac:dyDescent="0.35">
      <c r="A200" s="646"/>
      <c r="B200" s="647"/>
      <c r="C200" s="647"/>
      <c r="D200" s="648"/>
    </row>
    <row r="201" spans="1:4" x14ac:dyDescent="0.35">
      <c r="A201" s="634" t="s">
        <v>79</v>
      </c>
      <c r="B201" s="635"/>
      <c r="C201" s="636"/>
      <c r="D201" s="54" t="s">
        <v>35</v>
      </c>
    </row>
    <row r="202" spans="1:4" x14ac:dyDescent="0.35">
      <c r="A202" s="632" t="s">
        <v>80</v>
      </c>
      <c r="B202" s="637"/>
      <c r="C202" s="637"/>
      <c r="D202" s="633"/>
    </row>
    <row r="203" spans="1:4" x14ac:dyDescent="0.35">
      <c r="A203" s="65" t="s">
        <v>36</v>
      </c>
      <c r="B203" s="632" t="s">
        <v>81</v>
      </c>
      <c r="C203" s="633"/>
      <c r="D203" s="104">
        <f>D39</f>
        <v>1325</v>
      </c>
    </row>
    <row r="204" spans="1:4" x14ac:dyDescent="0.35">
      <c r="A204" s="65" t="s">
        <v>16</v>
      </c>
      <c r="B204" s="632" t="s">
        <v>82</v>
      </c>
      <c r="C204" s="633"/>
      <c r="D204" s="104">
        <f>D83</f>
        <v>1201.52</v>
      </c>
    </row>
    <row r="205" spans="1:4" x14ac:dyDescent="0.35">
      <c r="A205" s="65" t="s">
        <v>17</v>
      </c>
      <c r="B205" s="632" t="s">
        <v>83</v>
      </c>
      <c r="C205" s="633"/>
      <c r="D205" s="104">
        <f>D126</f>
        <v>110.26</v>
      </c>
    </row>
    <row r="206" spans="1:4" x14ac:dyDescent="0.35">
      <c r="A206" s="65" t="s">
        <v>19</v>
      </c>
      <c r="B206" s="632" t="s">
        <v>84</v>
      </c>
      <c r="C206" s="633"/>
      <c r="D206" s="104">
        <f>D172</f>
        <v>253.84</v>
      </c>
    </row>
    <row r="207" spans="1:4" x14ac:dyDescent="0.35">
      <c r="A207" s="65" t="s">
        <v>22</v>
      </c>
      <c r="B207" s="632" t="s">
        <v>85</v>
      </c>
      <c r="C207" s="633"/>
      <c r="D207" s="104">
        <f>D183</f>
        <v>399.81</v>
      </c>
    </row>
    <row r="208" spans="1:4" x14ac:dyDescent="0.4">
      <c r="A208" s="629" t="s">
        <v>86</v>
      </c>
      <c r="B208" s="630"/>
      <c r="C208" s="631"/>
      <c r="D208" s="104">
        <f>SUM(D203:D207)</f>
        <v>3290.43</v>
      </c>
    </row>
    <row r="209" spans="1:4" x14ac:dyDescent="0.35">
      <c r="A209" s="65" t="s">
        <v>87</v>
      </c>
      <c r="B209" s="632" t="s">
        <v>88</v>
      </c>
      <c r="C209" s="633"/>
      <c r="D209" s="104">
        <f>D199</f>
        <v>699.75</v>
      </c>
    </row>
    <row r="210" spans="1:4" x14ac:dyDescent="0.35">
      <c r="A210" s="634" t="s">
        <v>89</v>
      </c>
      <c r="B210" s="635"/>
      <c r="C210" s="636"/>
      <c r="D210" s="154">
        <f xml:space="preserve"> D208+D209</f>
        <v>3990.18</v>
      </c>
    </row>
  </sheetData>
  <mergeCells count="107">
    <mergeCell ref="A5:D5"/>
    <mergeCell ref="C6:D6"/>
    <mergeCell ref="C7:D7"/>
    <mergeCell ref="C8:D8"/>
    <mergeCell ref="C9:D9"/>
    <mergeCell ref="C10:D10"/>
    <mergeCell ref="A1:D1"/>
    <mergeCell ref="A2:B2"/>
    <mergeCell ref="C2:D2"/>
    <mergeCell ref="A3:B3"/>
    <mergeCell ref="C3:D3"/>
    <mergeCell ref="A4:D4"/>
    <mergeCell ref="C17:D17"/>
    <mergeCell ref="A18:D18"/>
    <mergeCell ref="B19:C19"/>
    <mergeCell ref="B20:C20"/>
    <mergeCell ref="B21:C21"/>
    <mergeCell ref="B22:C22"/>
    <mergeCell ref="C11:D11"/>
    <mergeCell ref="C12:D12"/>
    <mergeCell ref="A13:D13"/>
    <mergeCell ref="A14:D14"/>
    <mergeCell ref="A15:D15"/>
    <mergeCell ref="C16:D16"/>
    <mergeCell ref="A45:B45"/>
    <mergeCell ref="A46:D46"/>
    <mergeCell ref="A47:D47"/>
    <mergeCell ref="A48:D48"/>
    <mergeCell ref="A52:B52"/>
    <mergeCell ref="A53:D53"/>
    <mergeCell ref="A23:D23"/>
    <mergeCell ref="A24:D24"/>
    <mergeCell ref="A25:D25"/>
    <mergeCell ref="B26:C26"/>
    <mergeCell ref="A39:C39"/>
    <mergeCell ref="A40:D40"/>
    <mergeCell ref="A84:D84"/>
    <mergeCell ref="A85:D85"/>
    <mergeCell ref="A86:D86"/>
    <mergeCell ref="A99:B99"/>
    <mergeCell ref="A100:D100"/>
    <mergeCell ref="A111:B111"/>
    <mergeCell ref="A63:B63"/>
    <mergeCell ref="A64:D64"/>
    <mergeCell ref="A77:C77"/>
    <mergeCell ref="A78:D78"/>
    <mergeCell ref="A79:B79"/>
    <mergeCell ref="A83:C83"/>
    <mergeCell ref="A123:B123"/>
    <mergeCell ref="A124:B124"/>
    <mergeCell ref="A126:B126"/>
    <mergeCell ref="A127:D127"/>
    <mergeCell ref="A128:D128"/>
    <mergeCell ref="A129:D129"/>
    <mergeCell ref="A112:D112"/>
    <mergeCell ref="A116:B116"/>
    <mergeCell ref="A117:D117"/>
    <mergeCell ref="A118:B118"/>
    <mergeCell ref="A121:C121"/>
    <mergeCell ref="A122:B122"/>
    <mergeCell ref="A155:D155"/>
    <mergeCell ref="A156:B156"/>
    <mergeCell ref="A157:A164"/>
    <mergeCell ref="A165:B165"/>
    <mergeCell ref="A166:D166"/>
    <mergeCell ref="A167:B167"/>
    <mergeCell ref="A138:B138"/>
    <mergeCell ref="A139:D139"/>
    <mergeCell ref="A140:A144"/>
    <mergeCell ref="A145:B145"/>
    <mergeCell ref="A146:D146"/>
    <mergeCell ref="A154:B154"/>
    <mergeCell ref="B176:C176"/>
    <mergeCell ref="B177:C177"/>
    <mergeCell ref="B178:C178"/>
    <mergeCell ref="B179:C179"/>
    <mergeCell ref="B182:C182"/>
    <mergeCell ref="A183:C183"/>
    <mergeCell ref="A168:D168"/>
    <mergeCell ref="A169:B169"/>
    <mergeCell ref="A172:C172"/>
    <mergeCell ref="A173:D173"/>
    <mergeCell ref="A174:D174"/>
    <mergeCell ref="A175:D175"/>
    <mergeCell ref="B180:C180"/>
    <mergeCell ref="B181:C181"/>
    <mergeCell ref="A193:C193"/>
    <mergeCell ref="B194:D194"/>
    <mergeCell ref="A198:B198"/>
    <mergeCell ref="A199:B199"/>
    <mergeCell ref="A200:D200"/>
    <mergeCell ref="A201:C201"/>
    <mergeCell ref="A184:D184"/>
    <mergeCell ref="A185:C185"/>
    <mergeCell ref="A186:D186"/>
    <mergeCell ref="A187:D187"/>
    <mergeCell ref="A188:D188"/>
    <mergeCell ref="A191:C191"/>
    <mergeCell ref="A208:C208"/>
    <mergeCell ref="B209:C209"/>
    <mergeCell ref="A210:C210"/>
    <mergeCell ref="A202:D202"/>
    <mergeCell ref="B203:C203"/>
    <mergeCell ref="B204:C204"/>
    <mergeCell ref="B205:C205"/>
    <mergeCell ref="B206:C206"/>
    <mergeCell ref="B207:C207"/>
  </mergeCells>
  <pageMargins left="0.51181102362204722" right="0.51181102362204722" top="0.78740157480314965" bottom="0.78740157480314965" header="0.31496062992125984" footer="0.31496062992125984"/>
  <pageSetup paperSize="9" scale="22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51E3E7-42C1-4129-B94A-00F2C6550744}">
  <sheetPr codeName="Planilha12">
    <pageSetUpPr fitToPage="1"/>
  </sheetPr>
  <dimension ref="A1:D215"/>
  <sheetViews>
    <sheetView view="pageBreakPreview" topLeftCell="A187" zoomScale="85" zoomScaleNormal="85" zoomScaleSheetLayoutView="85" workbookViewId="0">
      <selection activeCell="B216" sqref="B216"/>
    </sheetView>
  </sheetViews>
  <sheetFormatPr defaultColWidth="9.1796875" defaultRowHeight="15" customHeight="1" outlineLevelRow="3" x14ac:dyDescent="0.35"/>
  <cols>
    <col min="1" max="1" width="16.7265625" customWidth="1"/>
    <col min="2" max="2" width="76.81640625" customWidth="1"/>
    <col min="3" max="3" width="22.81640625" customWidth="1"/>
    <col min="4" max="4" width="23.54296875" customWidth="1"/>
  </cols>
  <sheetData>
    <row r="1" spans="1:4" x14ac:dyDescent="0.35">
      <c r="A1" s="683" t="s">
        <v>6</v>
      </c>
      <c r="B1" s="683"/>
      <c r="C1" s="683"/>
      <c r="D1" s="683"/>
    </row>
    <row r="2" spans="1:4" x14ac:dyDescent="0.35">
      <c r="A2" s="684" t="s">
        <v>12</v>
      </c>
      <c r="B2" s="684"/>
      <c r="C2" s="685" t="s">
        <v>519</v>
      </c>
      <c r="D2" s="686"/>
    </row>
    <row r="3" spans="1:4" x14ac:dyDescent="0.35">
      <c r="A3" s="684" t="s">
        <v>13</v>
      </c>
      <c r="B3" s="684"/>
      <c r="C3" s="685" t="s">
        <v>520</v>
      </c>
      <c r="D3" s="686"/>
    </row>
    <row r="4" spans="1:4" x14ac:dyDescent="0.35">
      <c r="A4" s="687"/>
      <c r="B4" s="687"/>
      <c r="C4" s="687"/>
      <c r="D4" s="687"/>
    </row>
    <row r="5" spans="1:4" x14ac:dyDescent="0.35">
      <c r="A5" s="687" t="s">
        <v>14</v>
      </c>
      <c r="B5" s="687"/>
      <c r="C5" s="687"/>
      <c r="D5" s="687"/>
    </row>
    <row r="6" spans="1:4" x14ac:dyDescent="0.35">
      <c r="A6" s="65" t="s">
        <v>15</v>
      </c>
      <c r="B6" s="63" t="s">
        <v>5</v>
      </c>
      <c r="C6" s="707" t="s">
        <v>144</v>
      </c>
      <c r="D6" s="708"/>
    </row>
    <row r="7" spans="1:4" x14ac:dyDescent="0.35">
      <c r="A7" s="65" t="s">
        <v>16</v>
      </c>
      <c r="B7" s="63" t="s">
        <v>4</v>
      </c>
      <c r="C7" s="690" t="s">
        <v>501</v>
      </c>
      <c r="D7" s="690"/>
    </row>
    <row r="8" spans="1:4" x14ac:dyDescent="0.35">
      <c r="A8" s="25" t="s">
        <v>17</v>
      </c>
      <c r="B8" s="26" t="s">
        <v>18</v>
      </c>
      <c r="C8" s="722" t="s">
        <v>521</v>
      </c>
      <c r="D8" s="723"/>
    </row>
    <row r="9" spans="1:4" x14ac:dyDescent="0.35">
      <c r="A9" s="65" t="s">
        <v>19</v>
      </c>
      <c r="B9" s="63" t="s">
        <v>20</v>
      </c>
      <c r="C9" s="700" t="s">
        <v>21</v>
      </c>
      <c r="D9" s="701"/>
    </row>
    <row r="10" spans="1:4" x14ac:dyDescent="0.35">
      <c r="A10" s="65" t="s">
        <v>22</v>
      </c>
      <c r="B10" s="63" t="s">
        <v>23</v>
      </c>
      <c r="C10" s="700" t="s">
        <v>262</v>
      </c>
      <c r="D10" s="701"/>
    </row>
    <row r="11" spans="1:4" x14ac:dyDescent="0.35">
      <c r="A11" s="65" t="s">
        <v>24</v>
      </c>
      <c r="B11" s="63" t="s">
        <v>251</v>
      </c>
      <c r="C11" s="691">
        <f>Resumo!F10</f>
        <v>264.25</v>
      </c>
      <c r="D11" s="692"/>
    </row>
    <row r="12" spans="1:4" x14ac:dyDescent="0.35">
      <c r="A12" s="65" t="s">
        <v>25</v>
      </c>
      <c r="B12" s="63" t="s">
        <v>26</v>
      </c>
      <c r="C12" s="693">
        <f>Resumo!I5</f>
        <v>20</v>
      </c>
      <c r="D12" s="694"/>
    </row>
    <row r="13" spans="1:4" x14ac:dyDescent="0.35">
      <c r="A13" s="695"/>
      <c r="B13" s="696"/>
      <c r="C13" s="696"/>
      <c r="D13" s="696"/>
    </row>
    <row r="14" spans="1:4" x14ac:dyDescent="0.35">
      <c r="A14" s="697" t="s">
        <v>27</v>
      </c>
      <c r="B14" s="698"/>
      <c r="C14" s="698"/>
      <c r="D14" s="699"/>
    </row>
    <row r="15" spans="1:4" x14ac:dyDescent="0.35">
      <c r="A15" s="690" t="s">
        <v>28</v>
      </c>
      <c r="B15" s="690"/>
      <c r="C15" s="690"/>
      <c r="D15" s="690"/>
    </row>
    <row r="16" spans="1:4" x14ac:dyDescent="0.35">
      <c r="A16" s="65">
        <v>1</v>
      </c>
      <c r="B16" s="63" t="s">
        <v>29</v>
      </c>
      <c r="C16" s="700" t="s">
        <v>266</v>
      </c>
      <c r="D16" s="701" t="s">
        <v>0</v>
      </c>
    </row>
    <row r="17" spans="1:4" x14ac:dyDescent="0.35">
      <c r="A17" s="65">
        <v>2</v>
      </c>
      <c r="B17" s="27" t="s">
        <v>30</v>
      </c>
      <c r="C17" s="688" t="s">
        <v>263</v>
      </c>
      <c r="D17" s="689"/>
    </row>
    <row r="18" spans="1:4" x14ac:dyDescent="0.35">
      <c r="A18" s="690" t="s">
        <v>31</v>
      </c>
      <c r="B18" s="690"/>
      <c r="C18" s="690"/>
      <c r="D18" s="690"/>
    </row>
    <row r="19" spans="1:4" x14ac:dyDescent="0.4">
      <c r="A19" s="65">
        <v>3</v>
      </c>
      <c r="B19" s="632" t="s">
        <v>3</v>
      </c>
      <c r="C19" s="633"/>
      <c r="D19" s="103">
        <v>1217</v>
      </c>
    </row>
    <row r="20" spans="1:4" x14ac:dyDescent="0.4">
      <c r="A20" s="65">
        <v>4</v>
      </c>
      <c r="B20" s="632" t="s">
        <v>252</v>
      </c>
      <c r="C20" s="633"/>
      <c r="D20" s="155">
        <v>220</v>
      </c>
    </row>
    <row r="21" spans="1:4" x14ac:dyDescent="0.35">
      <c r="A21" s="65">
        <v>5</v>
      </c>
      <c r="B21" s="632" t="s">
        <v>32</v>
      </c>
      <c r="C21" s="633"/>
      <c r="D21" s="73" t="s">
        <v>267</v>
      </c>
    </row>
    <row r="22" spans="1:4" x14ac:dyDescent="0.35">
      <c r="A22" s="65">
        <v>6</v>
      </c>
      <c r="B22" s="632" t="s">
        <v>2</v>
      </c>
      <c r="C22" s="633"/>
      <c r="D22" s="74">
        <v>44562</v>
      </c>
    </row>
    <row r="23" spans="1:4" x14ac:dyDescent="0.35">
      <c r="A23" s="700"/>
      <c r="B23" s="711"/>
      <c r="C23" s="711"/>
      <c r="D23" s="701"/>
    </row>
    <row r="24" spans="1:4" x14ac:dyDescent="0.35">
      <c r="A24" s="712" t="s">
        <v>33</v>
      </c>
      <c r="B24" s="712"/>
      <c r="C24" s="712"/>
      <c r="D24" s="712"/>
    </row>
    <row r="25" spans="1:4" x14ac:dyDescent="0.35">
      <c r="A25" s="713"/>
      <c r="B25" s="714"/>
      <c r="C25" s="714"/>
      <c r="D25" s="694"/>
    </row>
    <row r="26" spans="1:4" x14ac:dyDescent="0.35">
      <c r="A26" s="64">
        <v>1</v>
      </c>
      <c r="B26" s="634" t="s">
        <v>34</v>
      </c>
      <c r="C26" s="636"/>
      <c r="D26" s="64" t="s">
        <v>35</v>
      </c>
    </row>
    <row r="27" spans="1:4" outlineLevel="1" x14ac:dyDescent="0.35">
      <c r="A27" s="65" t="s">
        <v>36</v>
      </c>
      <c r="B27" s="63" t="s">
        <v>146</v>
      </c>
      <c r="C27" s="71">
        <f>'SR - ASG int'!C27</f>
        <v>220</v>
      </c>
      <c r="D27" s="104">
        <f>D19/220*C27</f>
        <v>1217</v>
      </c>
    </row>
    <row r="28" spans="1:4" outlineLevel="1" x14ac:dyDescent="0.35">
      <c r="A28" s="65" t="s">
        <v>16</v>
      </c>
      <c r="B28" s="63" t="s">
        <v>147</v>
      </c>
      <c r="C28" s="28">
        <v>0</v>
      </c>
      <c r="D28" s="104">
        <f>D27*10%</f>
        <v>121.7</v>
      </c>
    </row>
    <row r="29" spans="1:4" outlineLevel="1" x14ac:dyDescent="0.35">
      <c r="A29" s="65" t="s">
        <v>17</v>
      </c>
      <c r="B29" s="63" t="s">
        <v>38</v>
      </c>
      <c r="C29" s="28">
        <v>0.4</v>
      </c>
      <c r="D29" s="104">
        <v>0</v>
      </c>
    </row>
    <row r="30" spans="1:4" outlineLevel="1" x14ac:dyDescent="0.35">
      <c r="A30" s="65" t="s">
        <v>19</v>
      </c>
      <c r="B30" s="63" t="s">
        <v>148</v>
      </c>
      <c r="C30" s="156">
        <v>0</v>
      </c>
      <c r="D30" s="105">
        <f>SUM(D31:D32)</f>
        <v>0</v>
      </c>
    </row>
    <row r="31" spans="1:4" outlineLevel="2" x14ac:dyDescent="0.35">
      <c r="A31" s="78" t="s">
        <v>111</v>
      </c>
      <c r="B31" s="63" t="s">
        <v>149</v>
      </c>
      <c r="C31" s="79">
        <v>0.2</v>
      </c>
      <c r="D31" s="105">
        <f>(SUM(D27:D29)/C27)*C31*15*C30</f>
        <v>0</v>
      </c>
    </row>
    <row r="32" spans="1:4" outlineLevel="2" x14ac:dyDescent="0.35">
      <c r="A32" s="78" t="s">
        <v>112</v>
      </c>
      <c r="B32" s="63" t="s">
        <v>150</v>
      </c>
      <c r="C32" s="80">
        <f>C30*(60/52.5)/8</f>
        <v>0</v>
      </c>
      <c r="D32" s="105">
        <f>(SUM(D27:D29)/C27)*(C31)*15*C32</f>
        <v>0</v>
      </c>
    </row>
    <row r="33" spans="1:4" outlineLevel="1" x14ac:dyDescent="0.35">
      <c r="A33" s="65" t="s">
        <v>22</v>
      </c>
      <c r="B33" s="63" t="s">
        <v>151</v>
      </c>
      <c r="C33" s="28" t="s">
        <v>152</v>
      </c>
      <c r="D33" s="1">
        <f>SUM(D34:D37)</f>
        <v>0</v>
      </c>
    </row>
    <row r="34" spans="1:4" outlineLevel="2" x14ac:dyDescent="0.35">
      <c r="A34" s="81" t="s">
        <v>153</v>
      </c>
      <c r="B34" s="82" t="s">
        <v>154</v>
      </c>
      <c r="C34" s="83">
        <v>0</v>
      </c>
      <c r="D34" s="106">
        <f>(SUM($D$27:$D$29)/$C$27)*C34*1.5</f>
        <v>0</v>
      </c>
    </row>
    <row r="35" spans="1:4" outlineLevel="2" x14ac:dyDescent="0.35">
      <c r="A35" s="81" t="s">
        <v>155</v>
      </c>
      <c r="B35" s="84" t="s">
        <v>156</v>
      </c>
      <c r="C35" s="86">
        <v>0</v>
      </c>
      <c r="D35" s="106">
        <f>(SUM($D$27:$D$29)/$C$27)*C35*((60/52.5)*1.2*1.5)</f>
        <v>0</v>
      </c>
    </row>
    <row r="36" spans="1:4" outlineLevel="2" x14ac:dyDescent="0.35">
      <c r="A36" s="81" t="s">
        <v>157</v>
      </c>
      <c r="B36" s="82" t="s">
        <v>158</v>
      </c>
      <c r="C36" s="86">
        <f>C34*0.1429</f>
        <v>0</v>
      </c>
      <c r="D36" s="106">
        <f>(SUM($D$27:$D$29)/$C$27)*C36*2</f>
        <v>0</v>
      </c>
    </row>
    <row r="37" spans="1:4" outlineLevel="2" x14ac:dyDescent="0.35">
      <c r="A37" s="81" t="s">
        <v>159</v>
      </c>
      <c r="B37" s="82" t="s">
        <v>160</v>
      </c>
      <c r="C37" s="86">
        <f>C34*0.1429</f>
        <v>0</v>
      </c>
      <c r="D37" s="106">
        <f>(SUM($D$27:$D$29)/$C$27)*C37*((60/52.5)*1.2*2)</f>
        <v>0</v>
      </c>
    </row>
    <row r="38" spans="1:4" outlineLevel="1" x14ac:dyDescent="0.35">
      <c r="A38" s="65" t="s">
        <v>24</v>
      </c>
      <c r="B38" s="55" t="s">
        <v>39</v>
      </c>
      <c r="C38" s="56">
        <v>0</v>
      </c>
      <c r="D38" s="107">
        <v>0</v>
      </c>
    </row>
    <row r="39" spans="1:4" x14ac:dyDescent="0.35">
      <c r="A39" s="634" t="s">
        <v>40</v>
      </c>
      <c r="B39" s="635"/>
      <c r="C39" s="636"/>
      <c r="D39" s="108">
        <f>SUM(D27:D30,D33,D38)</f>
        <v>1338.7</v>
      </c>
    </row>
    <row r="40" spans="1:4" x14ac:dyDescent="0.35">
      <c r="A40" s="650"/>
      <c r="B40" s="650"/>
      <c r="C40" s="650"/>
      <c r="D40" s="650"/>
    </row>
    <row r="41" spans="1:4" outlineLevel="1" x14ac:dyDescent="0.35">
      <c r="A41" s="87" t="s">
        <v>161</v>
      </c>
      <c r="B41" s="109" t="s">
        <v>162</v>
      </c>
      <c r="C41" s="110" t="s">
        <v>163</v>
      </c>
      <c r="D41" s="110" t="s">
        <v>35</v>
      </c>
    </row>
    <row r="42" spans="1:4" outlineLevel="1" x14ac:dyDescent="0.35">
      <c r="A42" s="111" t="s">
        <v>36</v>
      </c>
      <c r="B42" s="27" t="s">
        <v>164</v>
      </c>
      <c r="C42" s="88">
        <v>0</v>
      </c>
      <c r="D42" s="112">
        <f>(SUM(D27)/$C$27)*C42*1.5</f>
        <v>0</v>
      </c>
    </row>
    <row r="43" spans="1:4" outlineLevel="1" x14ac:dyDescent="0.35">
      <c r="A43" s="113" t="s">
        <v>17</v>
      </c>
      <c r="B43" s="114" t="s">
        <v>165</v>
      </c>
      <c r="C43" s="115">
        <v>0</v>
      </c>
      <c r="D43" s="104">
        <f>C43*177</f>
        <v>0</v>
      </c>
    </row>
    <row r="44" spans="1:4" outlineLevel="1" x14ac:dyDescent="0.35">
      <c r="A44" s="65" t="s">
        <v>19</v>
      </c>
      <c r="B44" s="55" t="s">
        <v>39</v>
      </c>
      <c r="C44" s="56">
        <v>0</v>
      </c>
      <c r="D44" s="107">
        <v>0</v>
      </c>
    </row>
    <row r="45" spans="1:4" x14ac:dyDescent="0.35">
      <c r="A45" s="644" t="s">
        <v>166</v>
      </c>
      <c r="B45" s="645"/>
      <c r="C45" s="30">
        <f>D45/D39</f>
        <v>0</v>
      </c>
      <c r="D45" s="116">
        <f>SUM(D42:D43)</f>
        <v>0</v>
      </c>
    </row>
    <row r="46" spans="1:4" x14ac:dyDescent="0.35">
      <c r="A46" s="646"/>
      <c r="B46" s="647"/>
      <c r="C46" s="647"/>
      <c r="D46" s="648"/>
    </row>
    <row r="47" spans="1:4" x14ac:dyDescent="0.35">
      <c r="A47" s="663" t="s">
        <v>41</v>
      </c>
      <c r="B47" s="664"/>
      <c r="C47" s="664"/>
      <c r="D47" s="665"/>
    </row>
    <row r="48" spans="1:4" outlineLevel="1" x14ac:dyDescent="0.35">
      <c r="A48" s="646"/>
      <c r="B48" s="647"/>
      <c r="C48" s="647"/>
      <c r="D48" s="648"/>
    </row>
    <row r="49" spans="1:4" outlineLevel="1" x14ac:dyDescent="0.35">
      <c r="A49" s="110" t="s">
        <v>42</v>
      </c>
      <c r="B49" s="109" t="s">
        <v>43</v>
      </c>
      <c r="C49" s="110" t="s">
        <v>44</v>
      </c>
      <c r="D49" s="110" t="s">
        <v>35</v>
      </c>
    </row>
    <row r="50" spans="1:4" outlineLevel="2" x14ac:dyDescent="0.35">
      <c r="A50" s="113" t="s">
        <v>36</v>
      </c>
      <c r="B50" s="114" t="s">
        <v>45</v>
      </c>
      <c r="C50" s="29">
        <f>1/12</f>
        <v>8.3299999999999999E-2</v>
      </c>
      <c r="D50" s="104">
        <f>C50*D39</f>
        <v>111.51</v>
      </c>
    </row>
    <row r="51" spans="1:4" outlineLevel="2" x14ac:dyDescent="0.35">
      <c r="A51" s="113" t="s">
        <v>16</v>
      </c>
      <c r="B51" s="114" t="s">
        <v>113</v>
      </c>
      <c r="C51" s="29">
        <f>IF(C12&gt;60,(1/C12/3)*5,IF(C12&gt;48,(1/C12/3)*4,IF(C12&gt;36,(1/C12/3)*3,IF(C12&gt;24,(1/C12/3)*2,IF(C12&gt;12,(1/C12/3)*1,0)))))</f>
        <v>1.67E-2</v>
      </c>
      <c r="D51" s="104">
        <f>C51*D39</f>
        <v>22.36</v>
      </c>
    </row>
    <row r="52" spans="1:4" outlineLevel="1" x14ac:dyDescent="0.35">
      <c r="A52" s="644" t="s">
        <v>11</v>
      </c>
      <c r="B52" s="645"/>
      <c r="C52" s="30">
        <f>SUM(C50:C51)</f>
        <v>0.1</v>
      </c>
      <c r="D52" s="116">
        <f>SUM(D50:D51)</f>
        <v>133.87</v>
      </c>
    </row>
    <row r="53" spans="1:4" outlineLevel="1" x14ac:dyDescent="0.35">
      <c r="A53" s="646"/>
      <c r="B53" s="647"/>
      <c r="C53" s="647"/>
      <c r="D53" s="648"/>
    </row>
    <row r="54" spans="1:4" outlineLevel="1" x14ac:dyDescent="0.35">
      <c r="A54" s="110" t="s">
        <v>46</v>
      </c>
      <c r="B54" s="117" t="s">
        <v>47</v>
      </c>
      <c r="C54" s="110" t="s">
        <v>44</v>
      </c>
      <c r="D54" s="118" t="s">
        <v>35</v>
      </c>
    </row>
    <row r="55" spans="1:4" outlineLevel="2" x14ac:dyDescent="0.35">
      <c r="A55" s="111" t="s">
        <v>36</v>
      </c>
      <c r="B55" s="31" t="s">
        <v>48</v>
      </c>
      <c r="C55" s="32">
        <v>0.2</v>
      </c>
      <c r="D55" s="104">
        <f t="shared" ref="D55:D62" si="0">C55*($D$39+$D$52)</f>
        <v>294.51</v>
      </c>
    </row>
    <row r="56" spans="1:4" outlineLevel="2" x14ac:dyDescent="0.35">
      <c r="A56" s="111" t="s">
        <v>16</v>
      </c>
      <c r="B56" s="31" t="s">
        <v>49</v>
      </c>
      <c r="C56" s="32">
        <v>2.5000000000000001E-2</v>
      </c>
      <c r="D56" s="104">
        <f t="shared" si="0"/>
        <v>36.81</v>
      </c>
    </row>
    <row r="57" spans="1:4" outlineLevel="2" x14ac:dyDescent="0.35">
      <c r="A57" s="111" t="s">
        <v>17</v>
      </c>
      <c r="B57" s="31" t="s">
        <v>167</v>
      </c>
      <c r="C57" s="66">
        <v>0.03</v>
      </c>
      <c r="D57" s="104">
        <f t="shared" si="0"/>
        <v>44.18</v>
      </c>
    </row>
    <row r="58" spans="1:4" outlineLevel="2" x14ac:dyDescent="0.35">
      <c r="A58" s="111" t="s">
        <v>19</v>
      </c>
      <c r="B58" s="31" t="s">
        <v>168</v>
      </c>
      <c r="C58" s="32">
        <v>1.4999999999999999E-2</v>
      </c>
      <c r="D58" s="104">
        <f t="shared" si="0"/>
        <v>22.09</v>
      </c>
    </row>
    <row r="59" spans="1:4" outlineLevel="2" x14ac:dyDescent="0.35">
      <c r="A59" s="111" t="s">
        <v>22</v>
      </c>
      <c r="B59" s="31" t="s">
        <v>169</v>
      </c>
      <c r="C59" s="32">
        <v>0.01</v>
      </c>
      <c r="D59" s="104">
        <f t="shared" si="0"/>
        <v>14.73</v>
      </c>
    </row>
    <row r="60" spans="1:4" outlineLevel="2" x14ac:dyDescent="0.35">
      <c r="A60" s="111" t="s">
        <v>24</v>
      </c>
      <c r="B60" s="31" t="s">
        <v>50</v>
      </c>
      <c r="C60" s="32">
        <v>6.0000000000000001E-3</v>
      </c>
      <c r="D60" s="104">
        <f t="shared" si="0"/>
        <v>8.84</v>
      </c>
    </row>
    <row r="61" spans="1:4" outlineLevel="2" x14ac:dyDescent="0.35">
      <c r="A61" s="111" t="s">
        <v>25</v>
      </c>
      <c r="B61" s="31" t="s">
        <v>51</v>
      </c>
      <c r="C61" s="32">
        <v>2E-3</v>
      </c>
      <c r="D61" s="104">
        <f t="shared" si="0"/>
        <v>2.95</v>
      </c>
    </row>
    <row r="62" spans="1:4" outlineLevel="2" x14ac:dyDescent="0.35">
      <c r="A62" s="111" t="s">
        <v>52</v>
      </c>
      <c r="B62" s="31" t="s">
        <v>53</v>
      </c>
      <c r="C62" s="32">
        <v>0.08</v>
      </c>
      <c r="D62" s="104">
        <f t="shared" si="0"/>
        <v>117.81</v>
      </c>
    </row>
    <row r="63" spans="1:4" outlineLevel="1" x14ac:dyDescent="0.35">
      <c r="A63" s="644" t="s">
        <v>11</v>
      </c>
      <c r="B63" s="645"/>
      <c r="C63" s="33">
        <f>SUM(C55:C62)</f>
        <v>0.36799999999999999</v>
      </c>
      <c r="D63" s="119">
        <f>SUM(D55:D62)</f>
        <v>541.91999999999996</v>
      </c>
    </row>
    <row r="64" spans="1:4" outlineLevel="1" x14ac:dyDescent="0.35">
      <c r="A64" s="646"/>
      <c r="B64" s="647"/>
      <c r="C64" s="647"/>
      <c r="D64" s="648"/>
    </row>
    <row r="65" spans="1:4" outlineLevel="1" x14ac:dyDescent="0.35">
      <c r="A65" s="110" t="s">
        <v>54</v>
      </c>
      <c r="B65" s="117" t="s">
        <v>55</v>
      </c>
      <c r="C65" s="110" t="s">
        <v>56</v>
      </c>
      <c r="D65" s="110" t="s">
        <v>35</v>
      </c>
    </row>
    <row r="66" spans="1:4" outlineLevel="2" x14ac:dyDescent="0.35">
      <c r="A66" s="111" t="s">
        <v>36</v>
      </c>
      <c r="B66" s="31" t="s">
        <v>57</v>
      </c>
      <c r="C66" s="120">
        <v>3.5</v>
      </c>
      <c r="D66" s="121">
        <f>IF(D67+D68&gt;0,(D67+D68),0)</f>
        <v>80.98</v>
      </c>
    </row>
    <row r="67" spans="1:4" outlineLevel="3" x14ac:dyDescent="0.35">
      <c r="A67" s="122" t="s">
        <v>110</v>
      </c>
      <c r="B67" s="31" t="s">
        <v>170</v>
      </c>
      <c r="C67" s="123">
        <v>22</v>
      </c>
      <c r="D67" s="124">
        <f>C66*C67*2</f>
        <v>154</v>
      </c>
    </row>
    <row r="68" spans="1:4" outlineLevel="3" x14ac:dyDescent="0.35">
      <c r="A68" s="122" t="s">
        <v>114</v>
      </c>
      <c r="B68" s="31" t="s">
        <v>171</v>
      </c>
      <c r="C68" s="125">
        <v>0.06</v>
      </c>
      <c r="D68" s="124">
        <f>-D27*C68</f>
        <v>-73.02</v>
      </c>
    </row>
    <row r="69" spans="1:4" outlineLevel="2" x14ac:dyDescent="0.35">
      <c r="A69" s="111" t="s">
        <v>16</v>
      </c>
      <c r="B69" s="31" t="s">
        <v>58</v>
      </c>
      <c r="C69" s="126">
        <f>'SR - ASG int'!C69</f>
        <v>13.18</v>
      </c>
      <c r="D69" s="121">
        <f>D70+D71</f>
        <v>276.77999999999997</v>
      </c>
    </row>
    <row r="70" spans="1:4" outlineLevel="3" x14ac:dyDescent="0.35">
      <c r="A70" s="122" t="s">
        <v>90</v>
      </c>
      <c r="B70" s="31" t="s">
        <v>172</v>
      </c>
      <c r="C70" s="123">
        <v>21</v>
      </c>
      <c r="D70" s="124">
        <f>C69*C70</f>
        <v>276.77999999999997</v>
      </c>
    </row>
    <row r="71" spans="1:4" outlineLevel="3" x14ac:dyDescent="0.35">
      <c r="A71" s="122" t="s">
        <v>115</v>
      </c>
      <c r="B71" s="31" t="s">
        <v>91</v>
      </c>
      <c r="C71" s="127">
        <f>'SR - ASG int'!C71</f>
        <v>0</v>
      </c>
      <c r="D71" s="124">
        <f>D70*C71</f>
        <v>0</v>
      </c>
    </row>
    <row r="72" spans="1:4" outlineLevel="2" x14ac:dyDescent="0.35">
      <c r="A72" s="111" t="s">
        <v>17</v>
      </c>
      <c r="B72" s="75" t="s">
        <v>291</v>
      </c>
      <c r="C72" s="126">
        <f>'SR - ASG int'!C72</f>
        <v>9.6999999999999993</v>
      </c>
      <c r="D72" s="129">
        <f>C72</f>
        <v>9.6999999999999993</v>
      </c>
    </row>
    <row r="73" spans="1:4" outlineLevel="2" x14ac:dyDescent="0.35">
      <c r="A73" s="111" t="s">
        <v>19</v>
      </c>
      <c r="B73" s="76" t="s">
        <v>293</v>
      </c>
      <c r="C73" s="126">
        <f>140*3</f>
        <v>420</v>
      </c>
      <c r="D73" s="129">
        <f>C73*C152</f>
        <v>0.84</v>
      </c>
    </row>
    <row r="74" spans="1:4" outlineLevel="2" x14ac:dyDescent="0.35">
      <c r="A74" s="111" t="s">
        <v>22</v>
      </c>
      <c r="B74" s="75" t="s">
        <v>292</v>
      </c>
      <c r="C74" s="126">
        <v>21</v>
      </c>
      <c r="D74" s="129">
        <f>C74</f>
        <v>21</v>
      </c>
    </row>
    <row r="75" spans="1:4" outlineLevel="2" x14ac:dyDescent="0.35">
      <c r="A75" s="111" t="s">
        <v>24</v>
      </c>
      <c r="B75" s="75" t="s">
        <v>553</v>
      </c>
      <c r="C75" s="128">
        <v>0</v>
      </c>
      <c r="D75" s="129">
        <v>97</v>
      </c>
    </row>
    <row r="76" spans="1:4" outlineLevel="2" x14ac:dyDescent="0.35">
      <c r="A76" s="111" t="s">
        <v>25</v>
      </c>
      <c r="B76" s="75" t="s">
        <v>39</v>
      </c>
      <c r="C76" s="126">
        <v>0</v>
      </c>
      <c r="D76" s="130">
        <f>C76</f>
        <v>0</v>
      </c>
    </row>
    <row r="77" spans="1:4" outlineLevel="1" x14ac:dyDescent="0.35">
      <c r="A77" s="644" t="s">
        <v>59</v>
      </c>
      <c r="B77" s="657"/>
      <c r="C77" s="645"/>
      <c r="D77" s="116">
        <f>SUM(D66,D69,D72:D76)</f>
        <v>486.3</v>
      </c>
    </row>
    <row r="78" spans="1:4" outlineLevel="1" x14ac:dyDescent="0.35">
      <c r="A78" s="646"/>
      <c r="B78" s="647"/>
      <c r="C78" s="647"/>
      <c r="D78" s="648"/>
    </row>
    <row r="79" spans="1:4" outlineLevel="1" x14ac:dyDescent="0.35">
      <c r="A79" s="661" t="s">
        <v>60</v>
      </c>
      <c r="B79" s="662"/>
      <c r="C79" s="110" t="s">
        <v>44</v>
      </c>
      <c r="D79" s="110" t="s">
        <v>35</v>
      </c>
    </row>
    <row r="80" spans="1:4" outlineLevel="1" x14ac:dyDescent="0.35">
      <c r="A80" s="111" t="s">
        <v>61</v>
      </c>
      <c r="B80" s="31" t="s">
        <v>43</v>
      </c>
      <c r="C80" s="34">
        <f>C52</f>
        <v>0.1</v>
      </c>
      <c r="D80" s="104">
        <f>D52</f>
        <v>133.87</v>
      </c>
    </row>
    <row r="81" spans="1:4" outlineLevel="1" x14ac:dyDescent="0.35">
      <c r="A81" s="111" t="s">
        <v>46</v>
      </c>
      <c r="B81" s="31" t="s">
        <v>47</v>
      </c>
      <c r="C81" s="34">
        <f>C63</f>
        <v>0.36799999999999999</v>
      </c>
      <c r="D81" s="104">
        <f>D63</f>
        <v>541.91999999999996</v>
      </c>
    </row>
    <row r="82" spans="1:4" outlineLevel="1" x14ac:dyDescent="0.35">
      <c r="A82" s="111" t="s">
        <v>62</v>
      </c>
      <c r="B82" s="31" t="s">
        <v>55</v>
      </c>
      <c r="C82" s="34">
        <f>D77/D39</f>
        <v>0.36330000000000001</v>
      </c>
      <c r="D82" s="104">
        <f>D77</f>
        <v>486.3</v>
      </c>
    </row>
    <row r="83" spans="1:4" x14ac:dyDescent="0.35">
      <c r="A83" s="644" t="s">
        <v>11</v>
      </c>
      <c r="B83" s="657"/>
      <c r="C83" s="645"/>
      <c r="D83" s="116">
        <f>SUM(D80:D82)</f>
        <v>1162.0899999999999</v>
      </c>
    </row>
    <row r="84" spans="1:4" x14ac:dyDescent="0.35">
      <c r="A84" s="646"/>
      <c r="B84" s="647"/>
      <c r="C84" s="647"/>
      <c r="D84" s="648"/>
    </row>
    <row r="85" spans="1:4" x14ac:dyDescent="0.35">
      <c r="A85" s="680" t="s">
        <v>173</v>
      </c>
      <c r="B85" s="681"/>
      <c r="C85" s="681"/>
      <c r="D85" s="682"/>
    </row>
    <row r="86" spans="1:4" outlineLevel="1" x14ac:dyDescent="0.35">
      <c r="A86" s="646"/>
      <c r="B86" s="647"/>
      <c r="C86" s="647"/>
      <c r="D86" s="648"/>
    </row>
    <row r="87" spans="1:4" outlineLevel="1" x14ac:dyDescent="0.35">
      <c r="A87" s="64" t="s">
        <v>174</v>
      </c>
      <c r="B87" s="109" t="s">
        <v>175</v>
      </c>
      <c r="C87" s="110" t="s">
        <v>44</v>
      </c>
      <c r="D87" s="110" t="s">
        <v>35</v>
      </c>
    </row>
    <row r="88" spans="1:4" outlineLevel="2" x14ac:dyDescent="0.35">
      <c r="A88" s="35" t="s">
        <v>36</v>
      </c>
      <c r="B88" s="36" t="s">
        <v>176</v>
      </c>
      <c r="C88" s="35" t="s">
        <v>152</v>
      </c>
      <c r="D88" s="131">
        <f>IF(C99&gt;1,SUM(D89:D92)*2,SUM(D89:D92))</f>
        <v>1886.46</v>
      </c>
    </row>
    <row r="89" spans="1:4" outlineLevel="3" x14ac:dyDescent="0.35">
      <c r="A89" s="37" t="s">
        <v>177</v>
      </c>
      <c r="B89" s="38" t="s">
        <v>178</v>
      </c>
      <c r="C89" s="35">
        <f>(IF(C12&gt;60,45,IF(C12&gt;48,42,IF(C12&gt;36,39,IF(C12&gt;24,36,IF(C12&gt;12,33,30)))))/30)</f>
        <v>1.1000000000000001</v>
      </c>
      <c r="D89" s="131">
        <f>D39*C89</f>
        <v>1472.57</v>
      </c>
    </row>
    <row r="90" spans="1:4" outlineLevel="3" x14ac:dyDescent="0.35">
      <c r="A90" s="37" t="s">
        <v>179</v>
      </c>
      <c r="B90" s="38" t="s">
        <v>180</v>
      </c>
      <c r="C90" s="29">
        <f>1/12</f>
        <v>8.3299999999999999E-2</v>
      </c>
      <c r="D90" s="131">
        <f>C90*D89</f>
        <v>122.67</v>
      </c>
    </row>
    <row r="91" spans="1:4" outlineLevel="3" x14ac:dyDescent="0.35">
      <c r="A91" s="37" t="s">
        <v>181</v>
      </c>
      <c r="B91" s="38" t="s">
        <v>182</v>
      </c>
      <c r="C91" s="29">
        <f>(1/12)+(1/12/3)</f>
        <v>0.1111</v>
      </c>
      <c r="D91" s="132">
        <f>C91*D89</f>
        <v>163.6</v>
      </c>
    </row>
    <row r="92" spans="1:4" outlineLevel="3" x14ac:dyDescent="0.35">
      <c r="A92" s="37" t="s">
        <v>183</v>
      </c>
      <c r="B92" s="38" t="s">
        <v>184</v>
      </c>
      <c r="C92" s="39">
        <v>0.08</v>
      </c>
      <c r="D92" s="131">
        <f>SUM(D89:D90)*C92</f>
        <v>127.62</v>
      </c>
    </row>
    <row r="93" spans="1:4" outlineLevel="2" x14ac:dyDescent="0.35">
      <c r="A93" s="35" t="s">
        <v>16</v>
      </c>
      <c r="B93" s="36" t="s">
        <v>185</v>
      </c>
      <c r="C93" s="40">
        <v>0.4</v>
      </c>
      <c r="D93" s="131">
        <f>C93*D94</f>
        <v>943.87</v>
      </c>
    </row>
    <row r="94" spans="1:4" outlineLevel="3" x14ac:dyDescent="0.35">
      <c r="A94" s="35" t="s">
        <v>186</v>
      </c>
      <c r="B94" s="36" t="s">
        <v>187</v>
      </c>
      <c r="C94" s="40">
        <f>C62</f>
        <v>0.08</v>
      </c>
      <c r="D94" s="131">
        <f>C94*D95</f>
        <v>2359.6799999999998</v>
      </c>
    </row>
    <row r="95" spans="1:4" outlineLevel="3" x14ac:dyDescent="0.35">
      <c r="A95" s="35" t="s">
        <v>188</v>
      </c>
      <c r="B95" s="41" t="s">
        <v>116</v>
      </c>
      <c r="C95" s="42" t="s">
        <v>152</v>
      </c>
      <c r="D95" s="132">
        <f>SUM(D96:D98)</f>
        <v>29496.02</v>
      </c>
    </row>
    <row r="96" spans="1:4" outlineLevel="3" x14ac:dyDescent="0.35">
      <c r="A96" s="37" t="s">
        <v>189</v>
      </c>
      <c r="B96" s="38" t="s">
        <v>190</v>
      </c>
      <c r="C96" s="43">
        <f>C12-C98</f>
        <v>19</v>
      </c>
      <c r="D96" s="131">
        <f>D39*C96</f>
        <v>25435.3</v>
      </c>
    </row>
    <row r="97" spans="1:4" outlineLevel="3" x14ac:dyDescent="0.35">
      <c r="A97" s="37" t="s">
        <v>191</v>
      </c>
      <c r="B97" s="38" t="s">
        <v>192</v>
      </c>
      <c r="C97" s="44">
        <f>C12/12</f>
        <v>1.7</v>
      </c>
      <c r="D97" s="131">
        <f>D39*C97</f>
        <v>2275.79</v>
      </c>
    </row>
    <row r="98" spans="1:4" outlineLevel="3" x14ac:dyDescent="0.35">
      <c r="A98" s="37" t="s">
        <v>193</v>
      </c>
      <c r="B98" s="38" t="s">
        <v>194</v>
      </c>
      <c r="C98" s="42">
        <f>IF(C12&gt;60,5,IF(C12&gt;48,4,IF(C12&gt;36,3,IF(C12&gt;24,2,IF(C12&gt;12,1,0)))))</f>
        <v>1</v>
      </c>
      <c r="D98" s="132">
        <f>D39*C98*1.33333333333333</f>
        <v>1784.93</v>
      </c>
    </row>
    <row r="99" spans="1:4" outlineLevel="1" x14ac:dyDescent="0.35">
      <c r="A99" s="644" t="s">
        <v>11</v>
      </c>
      <c r="B99" s="645"/>
      <c r="C99" s="67">
        <f>'SR - ASG int'!C99</f>
        <v>5.5500000000000001E-2</v>
      </c>
      <c r="D99" s="116">
        <f>IF(C99&gt;1,D88+D93,(D88+D93)*C99)</f>
        <v>157.08000000000001</v>
      </c>
    </row>
    <row r="100" spans="1:4" outlineLevel="1" x14ac:dyDescent="0.35">
      <c r="A100" s="658"/>
      <c r="B100" s="659"/>
      <c r="C100" s="659"/>
      <c r="D100" s="660"/>
    </row>
    <row r="101" spans="1:4" outlineLevel="1" x14ac:dyDescent="0.35">
      <c r="A101" s="64" t="s">
        <v>195</v>
      </c>
      <c r="B101" s="109" t="s">
        <v>196</v>
      </c>
      <c r="C101" s="110" t="s">
        <v>44</v>
      </c>
      <c r="D101" s="110" t="s">
        <v>35</v>
      </c>
    </row>
    <row r="102" spans="1:4" outlineLevel="2" x14ac:dyDescent="0.35">
      <c r="A102" s="35" t="s">
        <v>36</v>
      </c>
      <c r="B102" s="41" t="s">
        <v>197</v>
      </c>
      <c r="C102" s="45">
        <f>IF(C111&gt;1,(1/30*7)*2,(1/30*7))</f>
        <v>0.23330000000000001</v>
      </c>
      <c r="D102" s="132">
        <f>C102*SUM(D103:D107)</f>
        <v>610.99</v>
      </c>
    </row>
    <row r="103" spans="1:4" outlineLevel="3" x14ac:dyDescent="0.35">
      <c r="A103" s="37" t="s">
        <v>177</v>
      </c>
      <c r="B103" s="38" t="s">
        <v>198</v>
      </c>
      <c r="C103" s="35">
        <v>1</v>
      </c>
      <c r="D103" s="131">
        <f>D39</f>
        <v>1338.7</v>
      </c>
    </row>
    <row r="104" spans="1:4" outlineLevel="3" x14ac:dyDescent="0.35">
      <c r="A104" s="37" t="s">
        <v>179</v>
      </c>
      <c r="B104" s="38" t="s">
        <v>199</v>
      </c>
      <c r="C104" s="29">
        <f>1/12</f>
        <v>8.3299999999999999E-2</v>
      </c>
      <c r="D104" s="131">
        <f>C104*D103</f>
        <v>111.51</v>
      </c>
    </row>
    <row r="105" spans="1:4" outlineLevel="3" x14ac:dyDescent="0.35">
      <c r="A105" s="37" t="s">
        <v>181</v>
      </c>
      <c r="B105" s="38" t="s">
        <v>200</v>
      </c>
      <c r="C105" s="29">
        <f>(1/12)+(1/12/3)</f>
        <v>0.1111</v>
      </c>
      <c r="D105" s="131">
        <f>C105*D103</f>
        <v>148.72999999999999</v>
      </c>
    </row>
    <row r="106" spans="1:4" outlineLevel="3" x14ac:dyDescent="0.35">
      <c r="A106" s="37" t="s">
        <v>183</v>
      </c>
      <c r="B106" s="46" t="s">
        <v>63</v>
      </c>
      <c r="C106" s="47">
        <f>C63</f>
        <v>0.36799999999999999</v>
      </c>
      <c r="D106" s="132">
        <f>C106*(D103+D104)</f>
        <v>533.67999999999995</v>
      </c>
    </row>
    <row r="107" spans="1:4" outlineLevel="3" x14ac:dyDescent="0.35">
      <c r="A107" s="37" t="s">
        <v>201</v>
      </c>
      <c r="B107" s="46" t="s">
        <v>202</v>
      </c>
      <c r="C107" s="42">
        <v>1</v>
      </c>
      <c r="D107" s="132">
        <f>D77</f>
        <v>486.3</v>
      </c>
    </row>
    <row r="108" spans="1:4" outlineLevel="2" x14ac:dyDescent="0.35">
      <c r="A108" s="35" t="s">
        <v>16</v>
      </c>
      <c r="B108" s="36" t="s">
        <v>203</v>
      </c>
      <c r="C108" s="40">
        <v>0.4</v>
      </c>
      <c r="D108" s="131">
        <f>C108*D109</f>
        <v>943.87</v>
      </c>
    </row>
    <row r="109" spans="1:4" outlineLevel="2" x14ac:dyDescent="0.35">
      <c r="A109" s="35" t="s">
        <v>186</v>
      </c>
      <c r="B109" s="36" t="s">
        <v>187</v>
      </c>
      <c r="C109" s="40">
        <f>C62</f>
        <v>0.08</v>
      </c>
      <c r="D109" s="131">
        <f>C109*D110</f>
        <v>2359.6799999999998</v>
      </c>
    </row>
    <row r="110" spans="1:4" outlineLevel="2" x14ac:dyDescent="0.35">
      <c r="A110" s="35" t="s">
        <v>188</v>
      </c>
      <c r="B110" s="41" t="s">
        <v>116</v>
      </c>
      <c r="C110" s="42" t="s">
        <v>152</v>
      </c>
      <c r="D110" s="132">
        <f>D95</f>
        <v>29496.02</v>
      </c>
    </row>
    <row r="111" spans="1:4" outlineLevel="1" x14ac:dyDescent="0.35">
      <c r="A111" s="644" t="s">
        <v>11</v>
      </c>
      <c r="B111" s="645"/>
      <c r="C111" s="67">
        <f>'SR - ASG int'!C111</f>
        <v>0.94450000000000001</v>
      </c>
      <c r="D111" s="116">
        <f>IF(C111&gt;1,D102+D108,(D102+D108)*C111)</f>
        <v>1468.57</v>
      </c>
    </row>
    <row r="112" spans="1:4" outlineLevel="1" x14ac:dyDescent="0.35">
      <c r="A112" s="658"/>
      <c r="B112" s="659"/>
      <c r="C112" s="659"/>
      <c r="D112" s="660"/>
    </row>
    <row r="113" spans="1:4" outlineLevel="1" x14ac:dyDescent="0.35">
      <c r="A113" s="64" t="s">
        <v>204</v>
      </c>
      <c r="B113" s="109" t="s">
        <v>205</v>
      </c>
      <c r="C113" s="110" t="s">
        <v>44</v>
      </c>
      <c r="D113" s="110" t="s">
        <v>35</v>
      </c>
    </row>
    <row r="114" spans="1:4" outlineLevel="2" x14ac:dyDescent="0.35">
      <c r="A114" s="111" t="s">
        <v>36</v>
      </c>
      <c r="B114" s="31" t="s">
        <v>206</v>
      </c>
      <c r="C114" s="34">
        <f>IF(C12&gt;60,(D39/12*(C12-60))/C12/D39,IF(C12&gt;48,(D39/12*(C12-48))/C12/D39,IF(C12&gt;36,(D39/12*(C12-36))/C12/D39,IF(C12&gt;24,(D39/12*(C12-24))/C12/D39,IF(C12&gt;12,((D39/12*(C12-12))/C12/D39),1/12)))))</f>
        <v>3.3300000000000003E-2</v>
      </c>
      <c r="D114" s="133">
        <f>C114*D39</f>
        <v>44.58</v>
      </c>
    </row>
    <row r="115" spans="1:4" outlineLevel="2" x14ac:dyDescent="0.35">
      <c r="A115" s="111" t="s">
        <v>16</v>
      </c>
      <c r="B115" s="48" t="s">
        <v>207</v>
      </c>
      <c r="C115" s="34">
        <f>C114/3</f>
        <v>1.11E-2</v>
      </c>
      <c r="D115" s="134">
        <f>C115*D39</f>
        <v>14.86</v>
      </c>
    </row>
    <row r="116" spans="1:4" outlineLevel="1" x14ac:dyDescent="0.35">
      <c r="A116" s="644" t="s">
        <v>11</v>
      </c>
      <c r="B116" s="645"/>
      <c r="C116" s="30">
        <f>C114+C115</f>
        <v>4.4400000000000002E-2</v>
      </c>
      <c r="D116" s="116">
        <f>SUM(D114:D115)</f>
        <v>59.44</v>
      </c>
    </row>
    <row r="117" spans="1:4" outlineLevel="1" x14ac:dyDescent="0.35">
      <c r="A117" s="658"/>
      <c r="B117" s="659"/>
      <c r="C117" s="659"/>
      <c r="D117" s="660"/>
    </row>
    <row r="118" spans="1:4" outlineLevel="1" x14ac:dyDescent="0.35">
      <c r="A118" s="661" t="s">
        <v>208</v>
      </c>
      <c r="B118" s="662"/>
      <c r="C118" s="110" t="s">
        <v>44</v>
      </c>
      <c r="D118" s="110" t="s">
        <v>35</v>
      </c>
    </row>
    <row r="119" spans="1:4" outlineLevel="1" x14ac:dyDescent="0.35">
      <c r="A119" s="111" t="s">
        <v>174</v>
      </c>
      <c r="B119" s="31" t="s">
        <v>175</v>
      </c>
      <c r="C119" s="34">
        <f>C99</f>
        <v>5.5500000000000001E-2</v>
      </c>
      <c r="D119" s="104">
        <f>D99</f>
        <v>157.08000000000001</v>
      </c>
    </row>
    <row r="120" spans="1:4" outlineLevel="1" x14ac:dyDescent="0.35">
      <c r="A120" s="113" t="s">
        <v>195</v>
      </c>
      <c r="B120" s="31" t="s">
        <v>196</v>
      </c>
      <c r="C120" s="49">
        <f>C111</f>
        <v>0.94450000000000001</v>
      </c>
      <c r="D120" s="104">
        <f>D111</f>
        <v>1468.57</v>
      </c>
    </row>
    <row r="121" spans="1:4" outlineLevel="1" x14ac:dyDescent="0.35">
      <c r="A121" s="679" t="s">
        <v>209</v>
      </c>
      <c r="B121" s="679"/>
      <c r="C121" s="679"/>
      <c r="D121" s="135">
        <f>D119+D120</f>
        <v>1625.65</v>
      </c>
    </row>
    <row r="122" spans="1:4" outlineLevel="1" x14ac:dyDescent="0.35">
      <c r="A122" s="675" t="s">
        <v>210</v>
      </c>
      <c r="B122" s="676"/>
      <c r="C122" s="68">
        <f>'SR - ASG int'!C122</f>
        <v>0.63570000000000004</v>
      </c>
      <c r="D122" s="58">
        <f>C122*D121</f>
        <v>1033.43</v>
      </c>
    </row>
    <row r="123" spans="1:4" outlineLevel="1" x14ac:dyDescent="0.35">
      <c r="A123" s="675" t="s">
        <v>211</v>
      </c>
      <c r="B123" s="676"/>
      <c r="C123" s="68">
        <f>'SR - ASG int'!C123</f>
        <v>1.0999999999999999E-2</v>
      </c>
      <c r="D123" s="58">
        <f>(D50+(D116/2))*-C123</f>
        <v>-1.55</v>
      </c>
    </row>
    <row r="124" spans="1:4" outlineLevel="1" x14ac:dyDescent="0.35">
      <c r="A124" s="677" t="s">
        <v>212</v>
      </c>
      <c r="B124" s="678"/>
      <c r="C124" s="72">
        <f>1/C12</f>
        <v>0.05</v>
      </c>
      <c r="D124" s="59">
        <f>(D122+D123)*C124</f>
        <v>51.59</v>
      </c>
    </row>
    <row r="125" spans="1:4" outlineLevel="1" x14ac:dyDescent="0.35">
      <c r="A125" s="113" t="s">
        <v>204</v>
      </c>
      <c r="B125" s="31" t="s">
        <v>213</v>
      </c>
      <c r="C125" s="49"/>
      <c r="D125" s="124">
        <f>D116</f>
        <v>59.44</v>
      </c>
    </row>
    <row r="126" spans="1:4" x14ac:dyDescent="0.35">
      <c r="A126" s="644" t="s">
        <v>11</v>
      </c>
      <c r="B126" s="645"/>
      <c r="C126" s="30"/>
      <c r="D126" s="136">
        <f>D124+D125</f>
        <v>111.03</v>
      </c>
    </row>
    <row r="127" spans="1:4" x14ac:dyDescent="0.35">
      <c r="A127" s="646"/>
      <c r="B127" s="647"/>
      <c r="C127" s="647"/>
      <c r="D127" s="648"/>
    </row>
    <row r="128" spans="1:4" x14ac:dyDescent="0.35">
      <c r="A128" s="663" t="s">
        <v>64</v>
      </c>
      <c r="B128" s="664"/>
      <c r="C128" s="664"/>
      <c r="D128" s="665"/>
    </row>
    <row r="129" spans="1:4" outlineLevel="1" x14ac:dyDescent="0.35">
      <c r="A129" s="658"/>
      <c r="B129" s="659"/>
      <c r="C129" s="659"/>
      <c r="D129" s="660"/>
    </row>
    <row r="130" spans="1:4" outlineLevel="1" x14ac:dyDescent="0.35">
      <c r="A130" s="110" t="s">
        <v>65</v>
      </c>
      <c r="B130" s="117" t="s">
        <v>214</v>
      </c>
      <c r="C130" s="30" t="s">
        <v>44</v>
      </c>
      <c r="D130" s="110" t="s">
        <v>35</v>
      </c>
    </row>
    <row r="131" spans="1:4" outlineLevel="2" x14ac:dyDescent="0.35">
      <c r="A131" s="137" t="s">
        <v>36</v>
      </c>
      <c r="B131" s="89" t="s">
        <v>66</v>
      </c>
      <c r="C131" s="50">
        <f>IF(C12&gt;60,5/C12,IF(C12&gt;48,4/C12,IF(C12&gt;36,3/C12,IF(C12&gt;24,2/C12,IF(C12&gt;12,1/C12,0)))))</f>
        <v>0.05</v>
      </c>
      <c r="D131" s="133">
        <f>SUM(D132:D136)</f>
        <v>86.54</v>
      </c>
    </row>
    <row r="132" spans="1:4" outlineLevel="3" x14ac:dyDescent="0.35">
      <c r="A132" s="138" t="s">
        <v>215</v>
      </c>
      <c r="B132" s="90" t="s">
        <v>216</v>
      </c>
      <c r="C132" s="139">
        <f>D39</f>
        <v>1338.7</v>
      </c>
      <c r="D132" s="140">
        <f>$C$131*(D39)-($C$131*(D39)*C137/3)</f>
        <v>66.94</v>
      </c>
    </row>
    <row r="133" spans="1:4" outlineLevel="3" x14ac:dyDescent="0.35">
      <c r="A133" s="138" t="s">
        <v>217</v>
      </c>
      <c r="B133" s="90" t="s">
        <v>218</v>
      </c>
      <c r="C133" s="139">
        <f>(D50)</f>
        <v>111.51</v>
      </c>
      <c r="D133" s="140">
        <f>$C$131*C133-($C$131*C133*C137/3)</f>
        <v>5.58</v>
      </c>
    </row>
    <row r="134" spans="1:4" outlineLevel="3" x14ac:dyDescent="0.35">
      <c r="A134" s="138" t="s">
        <v>219</v>
      </c>
      <c r="B134" s="90" t="s">
        <v>220</v>
      </c>
      <c r="C134" s="141">
        <f>(D39/12)+(D51*IF(C12&gt;60,((C12-60)*(1/60))+1,IF(C12&gt;48,((C12-48)*(1/48))+1,IF(C12&gt;36,((C12-36)*(1/36))+1,IF(C12&gt;24,((C12-24)*(1/24))+1,IF(C12&gt;12,((C12-12)*(1/12))+1,1))))))</f>
        <v>148.83000000000001</v>
      </c>
      <c r="D134" s="140">
        <f>$C$131*C134-($C$131*C134*C137/3)</f>
        <v>7.44</v>
      </c>
    </row>
    <row r="135" spans="1:4" outlineLevel="3" x14ac:dyDescent="0.35">
      <c r="A135" s="138" t="s">
        <v>221</v>
      </c>
      <c r="B135" s="90" t="s">
        <v>222</v>
      </c>
      <c r="C135" s="91">
        <f>C63</f>
        <v>0.36799999999999999</v>
      </c>
      <c r="D135" s="140">
        <f>SUM(D132:D134)*C131</f>
        <v>4</v>
      </c>
    </row>
    <row r="136" spans="1:4" outlineLevel="3" x14ac:dyDescent="0.35">
      <c r="A136" s="138" t="s">
        <v>223</v>
      </c>
      <c r="B136" s="90" t="s">
        <v>224</v>
      </c>
      <c r="C136" s="141">
        <f>D124</f>
        <v>51.59</v>
      </c>
      <c r="D136" s="140">
        <f>C136*C131</f>
        <v>2.58</v>
      </c>
    </row>
    <row r="137" spans="1:4" outlineLevel="2" x14ac:dyDescent="0.35">
      <c r="A137" s="111" t="s">
        <v>16</v>
      </c>
      <c r="B137" s="31" t="s">
        <v>225</v>
      </c>
      <c r="C137" s="92">
        <v>0</v>
      </c>
      <c r="D137" s="124">
        <f>$C$131*(D39)*(C137/3)</f>
        <v>0</v>
      </c>
    </row>
    <row r="138" spans="1:4" outlineLevel="1" x14ac:dyDescent="0.35">
      <c r="A138" s="644" t="s">
        <v>226</v>
      </c>
      <c r="B138" s="645"/>
      <c r="C138" s="30">
        <f>C131+(D137/D39)</f>
        <v>0.05</v>
      </c>
      <c r="D138" s="116">
        <f>SUM(D131:D137)</f>
        <v>173.08</v>
      </c>
    </row>
    <row r="139" spans="1:4" outlineLevel="1" x14ac:dyDescent="0.35">
      <c r="A139" s="658"/>
      <c r="B139" s="659"/>
      <c r="C139" s="659"/>
      <c r="D139" s="660"/>
    </row>
    <row r="140" spans="1:4" outlineLevel="2" x14ac:dyDescent="0.35">
      <c r="A140" s="668" t="s">
        <v>227</v>
      </c>
      <c r="B140" s="142" t="s">
        <v>190</v>
      </c>
      <c r="C140" s="93">
        <v>220</v>
      </c>
      <c r="D140" s="143">
        <f>D39</f>
        <v>1338.7</v>
      </c>
    </row>
    <row r="141" spans="1:4" outlineLevel="2" x14ac:dyDescent="0.35">
      <c r="A141" s="669"/>
      <c r="B141" s="142" t="s">
        <v>228</v>
      </c>
      <c r="C141" s="50">
        <f>(1+(1/3)+1)/12</f>
        <v>0.19439999999999999</v>
      </c>
      <c r="D141" s="144">
        <f>D140*C141</f>
        <v>260.24</v>
      </c>
    </row>
    <row r="142" spans="1:4" outlineLevel="2" x14ac:dyDescent="0.35">
      <c r="A142" s="669"/>
      <c r="B142" s="142" t="s">
        <v>229</v>
      </c>
      <c r="C142" s="50">
        <f>C63</f>
        <v>0.36799999999999999</v>
      </c>
      <c r="D142" s="144">
        <f>(D140+D141)*C142</f>
        <v>588.41</v>
      </c>
    </row>
    <row r="143" spans="1:4" outlineLevel="2" x14ac:dyDescent="0.35">
      <c r="A143" s="669"/>
      <c r="B143" s="142" t="s">
        <v>230</v>
      </c>
      <c r="C143" s="50">
        <f>D143/D140</f>
        <v>0.36330000000000001</v>
      </c>
      <c r="D143" s="144">
        <f>D77</f>
        <v>486.3</v>
      </c>
    </row>
    <row r="144" spans="1:4" outlineLevel="2" x14ac:dyDescent="0.35">
      <c r="A144" s="670"/>
      <c r="B144" s="145" t="s">
        <v>231</v>
      </c>
      <c r="C144" s="50">
        <f>D144/D140</f>
        <v>3.85E-2</v>
      </c>
      <c r="D144" s="144">
        <f>D124</f>
        <v>51.59</v>
      </c>
    </row>
    <row r="145" spans="1:4" outlineLevel="2" x14ac:dyDescent="0.35">
      <c r="A145" s="671" t="s">
        <v>232</v>
      </c>
      <c r="B145" s="672"/>
      <c r="C145" s="94">
        <f>D145/D140</f>
        <v>2.0356999999999998</v>
      </c>
      <c r="D145" s="146">
        <f>SUM(D140:D144)</f>
        <v>2725.24</v>
      </c>
    </row>
    <row r="146" spans="1:4" outlineLevel="2" x14ac:dyDescent="0.35">
      <c r="A146" s="673"/>
      <c r="B146" s="673"/>
      <c r="C146" s="673"/>
      <c r="D146" s="674"/>
    </row>
    <row r="147" spans="1:4" outlineLevel="1" x14ac:dyDescent="0.35">
      <c r="A147" s="110" t="s">
        <v>233</v>
      </c>
      <c r="B147" s="117" t="s">
        <v>234</v>
      </c>
      <c r="C147" s="30" t="s">
        <v>44</v>
      </c>
      <c r="D147" s="110" t="s">
        <v>35</v>
      </c>
    </row>
    <row r="148" spans="1:4" outlineLevel="2" x14ac:dyDescent="0.35">
      <c r="A148" s="111" t="s">
        <v>16</v>
      </c>
      <c r="B148" s="31" t="s">
        <v>118</v>
      </c>
      <c r="C148" s="77">
        <f>5/252</f>
        <v>1.9800000000000002E-2</v>
      </c>
      <c r="D148" s="133">
        <f>C148*$D$145</f>
        <v>53.96</v>
      </c>
    </row>
    <row r="149" spans="1:4" outlineLevel="2" x14ac:dyDescent="0.35">
      <c r="A149" s="111" t="s">
        <v>17</v>
      </c>
      <c r="B149" s="31" t="s">
        <v>119</v>
      </c>
      <c r="C149" s="77">
        <f>1.383/252</f>
        <v>5.4999999999999997E-3</v>
      </c>
      <c r="D149" s="133">
        <f>C149*$D$145</f>
        <v>14.99</v>
      </c>
    </row>
    <row r="150" spans="1:4" outlineLevel="2" x14ac:dyDescent="0.35">
      <c r="A150" s="111" t="s">
        <v>19</v>
      </c>
      <c r="B150" s="31" t="s">
        <v>117</v>
      </c>
      <c r="C150" s="77">
        <f>1.3892/252</f>
        <v>5.4999999999999997E-3</v>
      </c>
      <c r="D150" s="133">
        <f t="shared" ref="D150:D153" si="1">C150*$D$145</f>
        <v>14.99</v>
      </c>
    </row>
    <row r="151" spans="1:4" outlineLevel="2" x14ac:dyDescent="0.35">
      <c r="A151" s="111" t="s">
        <v>22</v>
      </c>
      <c r="B151" s="31" t="s">
        <v>67</v>
      </c>
      <c r="C151" s="77">
        <f>0.65/252</f>
        <v>2.5999999999999999E-3</v>
      </c>
      <c r="D151" s="133">
        <f t="shared" si="1"/>
        <v>7.09</v>
      </c>
    </row>
    <row r="152" spans="1:4" outlineLevel="2" x14ac:dyDescent="0.35">
      <c r="A152" s="111" t="s">
        <v>24</v>
      </c>
      <c r="B152" s="31" t="s">
        <v>68</v>
      </c>
      <c r="C152" s="77">
        <f>0.5052/252</f>
        <v>2E-3</v>
      </c>
      <c r="D152" s="133">
        <f t="shared" si="1"/>
        <v>5.45</v>
      </c>
    </row>
    <row r="153" spans="1:4" outlineLevel="2" x14ac:dyDescent="0.35">
      <c r="A153" s="111" t="s">
        <v>36</v>
      </c>
      <c r="B153" s="61" t="s">
        <v>235</v>
      </c>
      <c r="C153" s="69">
        <f>0.2/252</f>
        <v>8.0000000000000004E-4</v>
      </c>
      <c r="D153" s="133">
        <f t="shared" si="1"/>
        <v>2.1800000000000002</v>
      </c>
    </row>
    <row r="154" spans="1:4" outlineLevel="1" x14ac:dyDescent="0.35">
      <c r="A154" s="644" t="s">
        <v>226</v>
      </c>
      <c r="B154" s="645"/>
      <c r="C154" s="30">
        <f>SUM(C148:C153)</f>
        <v>3.6200000000000003E-2</v>
      </c>
      <c r="D154" s="116">
        <f>SUM(D148:D153)</f>
        <v>98.66</v>
      </c>
    </row>
    <row r="155" spans="1:4" outlineLevel="1" x14ac:dyDescent="0.35">
      <c r="A155" s="658"/>
      <c r="B155" s="659"/>
      <c r="C155" s="659"/>
      <c r="D155" s="660"/>
    </row>
    <row r="156" spans="1:4" outlineLevel="1" x14ac:dyDescent="0.35">
      <c r="A156" s="661" t="s">
        <v>236</v>
      </c>
      <c r="B156" s="666"/>
      <c r="C156" s="30" t="s">
        <v>237</v>
      </c>
      <c r="D156" s="110" t="s">
        <v>35</v>
      </c>
    </row>
    <row r="157" spans="1:4" outlineLevel="2" x14ac:dyDescent="0.4">
      <c r="A157" s="667" t="s">
        <v>238</v>
      </c>
      <c r="B157" s="142" t="s">
        <v>239</v>
      </c>
      <c r="C157" s="95">
        <f>C153</f>
        <v>8.0000000000000004E-4</v>
      </c>
      <c r="D157" s="147">
        <f>C157*-D140</f>
        <v>-1.07</v>
      </c>
    </row>
    <row r="158" spans="1:4" outlineLevel="2" x14ac:dyDescent="0.4">
      <c r="A158" s="667"/>
      <c r="B158" s="148" t="s">
        <v>240</v>
      </c>
      <c r="C158" s="96">
        <v>0</v>
      </c>
      <c r="D158" s="149">
        <f>C158*-(D140/220/24*5)</f>
        <v>0</v>
      </c>
    </row>
    <row r="159" spans="1:4" outlineLevel="2" x14ac:dyDescent="0.4">
      <c r="A159" s="667"/>
      <c r="B159" s="148" t="s">
        <v>241</v>
      </c>
      <c r="C159" s="96">
        <v>0</v>
      </c>
      <c r="D159" s="149">
        <f>C159*-D141</f>
        <v>0</v>
      </c>
    </row>
    <row r="160" spans="1:4" outlineLevel="2" x14ac:dyDescent="0.4">
      <c r="A160" s="667"/>
      <c r="B160" s="142" t="s">
        <v>242</v>
      </c>
      <c r="C160" s="95">
        <f>C154</f>
        <v>3.6200000000000003E-2</v>
      </c>
      <c r="D160" s="147">
        <f>C160*-D66</f>
        <v>-2.93</v>
      </c>
    </row>
    <row r="161" spans="1:4" outlineLevel="2" x14ac:dyDescent="0.4">
      <c r="A161" s="667"/>
      <c r="B161" s="142" t="s">
        <v>243</v>
      </c>
      <c r="C161" s="95">
        <f>C154</f>
        <v>3.6200000000000003E-2</v>
      </c>
      <c r="D161" s="147">
        <f>C161*-D69</f>
        <v>-10.02</v>
      </c>
    </row>
    <row r="162" spans="1:4" outlineLevel="2" x14ac:dyDescent="0.4">
      <c r="A162" s="667"/>
      <c r="B162" s="145" t="s">
        <v>244</v>
      </c>
      <c r="C162" s="95">
        <f>C153</f>
        <v>8.0000000000000004E-4</v>
      </c>
      <c r="D162" s="147">
        <f>C162*-D74</f>
        <v>-0.02</v>
      </c>
    </row>
    <row r="163" spans="1:4" outlineLevel="2" x14ac:dyDescent="0.35">
      <c r="A163" s="667"/>
      <c r="B163" s="145" t="s">
        <v>245</v>
      </c>
      <c r="C163" s="97">
        <f>C152</f>
        <v>2E-3</v>
      </c>
      <c r="D163" s="133">
        <f>C163*-SUM(D55:D61)</f>
        <v>-0.85</v>
      </c>
    </row>
    <row r="164" spans="1:4" outlineLevel="2" x14ac:dyDescent="0.4">
      <c r="A164" s="667"/>
      <c r="B164" s="142" t="s">
        <v>246</v>
      </c>
      <c r="C164" s="95">
        <f>C153</f>
        <v>8.0000000000000004E-4</v>
      </c>
      <c r="D164" s="147">
        <f>C164*-D142</f>
        <v>-0.47</v>
      </c>
    </row>
    <row r="165" spans="1:4" outlineLevel="1" x14ac:dyDescent="0.35">
      <c r="A165" s="644" t="s">
        <v>247</v>
      </c>
      <c r="B165" s="645"/>
      <c r="C165" s="30">
        <f>D165/D140</f>
        <v>-1.15E-2</v>
      </c>
      <c r="D165" s="116">
        <f>SUM(D157:D164)</f>
        <v>-15.36</v>
      </c>
    </row>
    <row r="166" spans="1:4" outlineLevel="1" x14ac:dyDescent="0.35">
      <c r="A166" s="658"/>
      <c r="B166" s="659"/>
      <c r="C166" s="659"/>
      <c r="D166" s="660"/>
    </row>
    <row r="167" spans="1:4" outlineLevel="1" x14ac:dyDescent="0.35">
      <c r="A167" s="644" t="s">
        <v>248</v>
      </c>
      <c r="B167" s="645"/>
      <c r="C167" s="30">
        <f>D167/D140</f>
        <v>6.2199999999999998E-2</v>
      </c>
      <c r="D167" s="116">
        <f>D154+D165</f>
        <v>83.3</v>
      </c>
    </row>
    <row r="168" spans="1:4" outlineLevel="1" x14ac:dyDescent="0.35">
      <c r="A168" s="658"/>
      <c r="B168" s="659"/>
      <c r="C168" s="659"/>
      <c r="D168" s="660"/>
    </row>
    <row r="169" spans="1:4" outlineLevel="1" x14ac:dyDescent="0.35">
      <c r="A169" s="661" t="s">
        <v>249</v>
      </c>
      <c r="B169" s="662"/>
      <c r="C169" s="110" t="s">
        <v>44</v>
      </c>
      <c r="D169" s="110" t="s">
        <v>35</v>
      </c>
    </row>
    <row r="170" spans="1:4" outlineLevel="1" x14ac:dyDescent="0.35">
      <c r="A170" s="111" t="s">
        <v>65</v>
      </c>
      <c r="B170" s="31" t="s">
        <v>214</v>
      </c>
      <c r="C170" s="34"/>
      <c r="D170" s="150">
        <f>D138</f>
        <v>173.08</v>
      </c>
    </row>
    <row r="171" spans="1:4" outlineLevel="1" x14ac:dyDescent="0.35">
      <c r="A171" s="111" t="s">
        <v>233</v>
      </c>
      <c r="B171" s="31" t="s">
        <v>234</v>
      </c>
      <c r="C171" s="34"/>
      <c r="D171" s="150">
        <f>D167</f>
        <v>83.3</v>
      </c>
    </row>
    <row r="172" spans="1:4" x14ac:dyDescent="0.35">
      <c r="A172" s="644" t="s">
        <v>11</v>
      </c>
      <c r="B172" s="657"/>
      <c r="C172" s="645"/>
      <c r="D172" s="119">
        <f>SUM(D170:D171)</f>
        <v>256.38</v>
      </c>
    </row>
    <row r="173" spans="1:4" x14ac:dyDescent="0.35">
      <c r="A173" s="658"/>
      <c r="B173" s="659"/>
      <c r="C173" s="659"/>
      <c r="D173" s="660"/>
    </row>
    <row r="174" spans="1:4" x14ac:dyDescent="0.35">
      <c r="A174" s="663" t="s">
        <v>69</v>
      </c>
      <c r="B174" s="664"/>
      <c r="C174" s="664"/>
      <c r="D174" s="665"/>
    </row>
    <row r="175" spans="1:4" outlineLevel="1" x14ac:dyDescent="0.35">
      <c r="A175" s="658"/>
      <c r="B175" s="659"/>
      <c r="C175" s="659"/>
      <c r="D175" s="660"/>
    </row>
    <row r="176" spans="1:4" outlineLevel="1" x14ac:dyDescent="0.35">
      <c r="A176" s="64">
        <v>5</v>
      </c>
      <c r="B176" s="644" t="s">
        <v>250</v>
      </c>
      <c r="C176" s="645"/>
      <c r="D176" s="110" t="s">
        <v>35</v>
      </c>
    </row>
    <row r="177" spans="1:4" outlineLevel="1" x14ac:dyDescent="0.35">
      <c r="A177" s="111" t="s">
        <v>36</v>
      </c>
      <c r="B177" s="655" t="s">
        <v>343</v>
      </c>
      <c r="C177" s="656"/>
      <c r="D177" s="133">
        <f>INSUMOS!H12</f>
        <v>25.07</v>
      </c>
    </row>
    <row r="178" spans="1:4" outlineLevel="1" x14ac:dyDescent="0.35">
      <c r="A178" s="111" t="s">
        <v>16</v>
      </c>
      <c r="B178" s="655" t="s">
        <v>369</v>
      </c>
      <c r="C178" s="656"/>
      <c r="D178" s="151">
        <f>INSUMOS!H30</f>
        <v>41.35</v>
      </c>
    </row>
    <row r="179" spans="1:4" outlineLevel="1" x14ac:dyDescent="0.35">
      <c r="A179" s="111" t="s">
        <v>17</v>
      </c>
      <c r="B179" s="640" t="s">
        <v>326</v>
      </c>
      <c r="C179" s="642"/>
      <c r="D179" s="151">
        <f>MATERIAIS!G125</f>
        <v>785.04</v>
      </c>
    </row>
    <row r="180" spans="1:4" outlineLevel="1" x14ac:dyDescent="0.35">
      <c r="A180" s="111" t="s">
        <v>19</v>
      </c>
      <c r="B180" s="640" t="s">
        <v>325</v>
      </c>
      <c r="C180" s="642"/>
      <c r="D180" s="151">
        <f>EQUIPAMENTOS!H134</f>
        <v>26.95</v>
      </c>
    </row>
    <row r="181" spans="1:4" outlineLevel="1" x14ac:dyDescent="0.35">
      <c r="A181" s="111" t="s">
        <v>22</v>
      </c>
      <c r="B181" s="705" t="s">
        <v>39</v>
      </c>
      <c r="C181" s="706"/>
      <c r="D181" s="130">
        <v>0</v>
      </c>
    </row>
    <row r="182" spans="1:4" outlineLevel="1" x14ac:dyDescent="0.35">
      <c r="A182" s="111" t="s">
        <v>24</v>
      </c>
      <c r="B182" s="705" t="s">
        <v>39</v>
      </c>
      <c r="C182" s="706"/>
      <c r="D182" s="130">
        <v>0</v>
      </c>
    </row>
    <row r="183" spans="1:4" x14ac:dyDescent="0.35">
      <c r="A183" s="644" t="s">
        <v>11</v>
      </c>
      <c r="B183" s="657"/>
      <c r="C183" s="645"/>
      <c r="D183" s="116">
        <f>SUM(D177:D181)</f>
        <v>878.41</v>
      </c>
    </row>
    <row r="184" spans="1:4" x14ac:dyDescent="0.35">
      <c r="A184" s="646"/>
      <c r="B184" s="647"/>
      <c r="C184" s="647"/>
      <c r="D184" s="648"/>
    </row>
    <row r="185" spans="1:4" x14ac:dyDescent="0.35">
      <c r="A185" s="649" t="s">
        <v>70</v>
      </c>
      <c r="B185" s="649"/>
      <c r="C185" s="649"/>
      <c r="D185" s="152">
        <f>D39+D83+D126+D172+D183</f>
        <v>3746.61</v>
      </c>
    </row>
    <row r="186" spans="1:4" x14ac:dyDescent="0.35">
      <c r="A186" s="650"/>
      <c r="B186" s="650"/>
      <c r="C186" s="650"/>
      <c r="D186" s="650"/>
    </row>
    <row r="187" spans="1:4" x14ac:dyDescent="0.35">
      <c r="A187" s="651" t="s">
        <v>71</v>
      </c>
      <c r="B187" s="651"/>
      <c r="C187" s="651"/>
      <c r="D187" s="651"/>
    </row>
    <row r="188" spans="1:4" outlineLevel="1" x14ac:dyDescent="0.35">
      <c r="A188" s="652"/>
      <c r="B188" s="653"/>
      <c r="C188" s="653"/>
      <c r="D188" s="654"/>
    </row>
    <row r="189" spans="1:4" outlineLevel="1" x14ac:dyDescent="0.35">
      <c r="A189" s="64">
        <v>6</v>
      </c>
      <c r="B189" s="117" t="s">
        <v>72</v>
      </c>
      <c r="C189" s="110" t="s">
        <v>44</v>
      </c>
      <c r="D189" s="110" t="s">
        <v>35</v>
      </c>
    </row>
    <row r="190" spans="1:4" outlineLevel="1" x14ac:dyDescent="0.35">
      <c r="A190" s="111" t="s">
        <v>36</v>
      </c>
      <c r="B190" s="31" t="s">
        <v>73</v>
      </c>
      <c r="C190" s="70">
        <f>'SR - ASG int'!C189</f>
        <v>2.6499999999999999E-2</v>
      </c>
      <c r="D190" s="105">
        <f>C190*D185</f>
        <v>99.29</v>
      </c>
    </row>
    <row r="191" spans="1:4" outlineLevel="1" x14ac:dyDescent="0.35">
      <c r="A191" s="638" t="s">
        <v>1</v>
      </c>
      <c r="B191" s="639"/>
      <c r="C191" s="643"/>
      <c r="D191" s="105">
        <f>D185+D190</f>
        <v>3845.9</v>
      </c>
    </row>
    <row r="192" spans="1:4" outlineLevel="1" x14ac:dyDescent="0.35">
      <c r="A192" s="111" t="s">
        <v>16</v>
      </c>
      <c r="B192" s="31" t="s">
        <v>74</v>
      </c>
      <c r="C192" s="70">
        <f>'SR - ASG int'!C191</f>
        <v>0.1087</v>
      </c>
      <c r="D192" s="105">
        <f>C192*D191</f>
        <v>418.05</v>
      </c>
    </row>
    <row r="193" spans="1:4" outlineLevel="1" x14ac:dyDescent="0.35">
      <c r="A193" s="638" t="s">
        <v>1</v>
      </c>
      <c r="B193" s="639"/>
      <c r="C193" s="639"/>
      <c r="D193" s="105">
        <f>D192+D191</f>
        <v>4263.95</v>
      </c>
    </row>
    <row r="194" spans="1:4" outlineLevel="1" x14ac:dyDescent="0.35">
      <c r="A194" s="111" t="s">
        <v>17</v>
      </c>
      <c r="B194" s="640" t="s">
        <v>75</v>
      </c>
      <c r="C194" s="641"/>
      <c r="D194" s="642"/>
    </row>
    <row r="195" spans="1:4" outlineLevel="1" x14ac:dyDescent="0.35">
      <c r="A195" s="153"/>
      <c r="B195" s="63" t="s">
        <v>76</v>
      </c>
      <c r="C195" s="70">
        <v>6.4999999999999997E-3</v>
      </c>
      <c r="D195" s="105">
        <f>(D193/(1-C198)*C195)</f>
        <v>30.01</v>
      </c>
    </row>
    <row r="196" spans="1:4" outlineLevel="1" x14ac:dyDescent="0.35">
      <c r="A196" s="153"/>
      <c r="B196" s="63" t="s">
        <v>77</v>
      </c>
      <c r="C196" s="70">
        <v>0.03</v>
      </c>
      <c r="D196" s="105">
        <f>(D193/(1-C198)*C196)</f>
        <v>138.51</v>
      </c>
    </row>
    <row r="197" spans="1:4" outlineLevel="1" x14ac:dyDescent="0.35">
      <c r="A197" s="153"/>
      <c r="B197" s="63" t="s">
        <v>294</v>
      </c>
      <c r="C197" s="51">
        <v>0.04</v>
      </c>
      <c r="D197" s="105">
        <f>(D193/(1-C198)*C197)</f>
        <v>184.69</v>
      </c>
    </row>
    <row r="198" spans="1:4" outlineLevel="1" x14ac:dyDescent="0.35">
      <c r="A198" s="638" t="s">
        <v>78</v>
      </c>
      <c r="B198" s="643"/>
      <c r="C198" s="52">
        <f>SUM(C195:C197)</f>
        <v>7.6499999999999999E-2</v>
      </c>
      <c r="D198" s="105">
        <f>SUM(D195:D197)</f>
        <v>353.21</v>
      </c>
    </row>
    <row r="199" spans="1:4" x14ac:dyDescent="0.35">
      <c r="A199" s="644" t="s">
        <v>11</v>
      </c>
      <c r="B199" s="645"/>
      <c r="C199" s="53">
        <f>(1+C190)*(1+C192)*(1/(1-C198))-1</f>
        <v>0.2324</v>
      </c>
      <c r="D199" s="108">
        <f>SUM(D198+D190+D192)</f>
        <v>870.55</v>
      </c>
    </row>
    <row r="200" spans="1:4" x14ac:dyDescent="0.35">
      <c r="A200" s="646"/>
      <c r="B200" s="647"/>
      <c r="C200" s="647"/>
      <c r="D200" s="648"/>
    </row>
    <row r="201" spans="1:4" x14ac:dyDescent="0.35">
      <c r="A201" s="634" t="s">
        <v>79</v>
      </c>
      <c r="B201" s="635"/>
      <c r="C201" s="636"/>
      <c r="D201" s="54" t="s">
        <v>35</v>
      </c>
    </row>
    <row r="202" spans="1:4" x14ac:dyDescent="0.35">
      <c r="A202" s="632" t="s">
        <v>80</v>
      </c>
      <c r="B202" s="637"/>
      <c r="C202" s="637"/>
      <c r="D202" s="633"/>
    </row>
    <row r="203" spans="1:4" x14ac:dyDescent="0.35">
      <c r="A203" s="65" t="s">
        <v>36</v>
      </c>
      <c r="B203" s="632" t="s">
        <v>81</v>
      </c>
      <c r="C203" s="633"/>
      <c r="D203" s="104">
        <f>D39</f>
        <v>1338.7</v>
      </c>
    </row>
    <row r="204" spans="1:4" x14ac:dyDescent="0.35">
      <c r="A204" s="65" t="s">
        <v>16</v>
      </c>
      <c r="B204" s="632" t="s">
        <v>82</v>
      </c>
      <c r="C204" s="633"/>
      <c r="D204" s="104">
        <f>D83</f>
        <v>1162.0899999999999</v>
      </c>
    </row>
    <row r="205" spans="1:4" x14ac:dyDescent="0.35">
      <c r="A205" s="65" t="s">
        <v>17</v>
      </c>
      <c r="B205" s="632" t="s">
        <v>83</v>
      </c>
      <c r="C205" s="633"/>
      <c r="D205" s="104">
        <f>D126</f>
        <v>111.03</v>
      </c>
    </row>
    <row r="206" spans="1:4" x14ac:dyDescent="0.35">
      <c r="A206" s="65" t="s">
        <v>19</v>
      </c>
      <c r="B206" s="632" t="s">
        <v>84</v>
      </c>
      <c r="C206" s="633"/>
      <c r="D206" s="104">
        <f>D172</f>
        <v>256.38</v>
      </c>
    </row>
    <row r="207" spans="1:4" x14ac:dyDescent="0.35">
      <c r="A207" s="65" t="s">
        <v>22</v>
      </c>
      <c r="B207" s="632" t="s">
        <v>85</v>
      </c>
      <c r="C207" s="633"/>
      <c r="D207" s="104">
        <f>D183</f>
        <v>878.41</v>
      </c>
    </row>
    <row r="208" spans="1:4" x14ac:dyDescent="0.4">
      <c r="A208" s="629" t="s">
        <v>86</v>
      </c>
      <c r="B208" s="630"/>
      <c r="C208" s="631"/>
      <c r="D208" s="104">
        <f>SUM(D203:D207)</f>
        <v>3746.61</v>
      </c>
    </row>
    <row r="209" spans="1:4" x14ac:dyDescent="0.35">
      <c r="A209" s="65" t="s">
        <v>87</v>
      </c>
      <c r="B209" s="632" t="s">
        <v>88</v>
      </c>
      <c r="C209" s="633"/>
      <c r="D209" s="104">
        <f>D199</f>
        <v>870.55</v>
      </c>
    </row>
    <row r="210" spans="1:4" x14ac:dyDescent="0.35">
      <c r="A210" s="634" t="s">
        <v>89</v>
      </c>
      <c r="B210" s="635"/>
      <c r="C210" s="636"/>
      <c r="D210" s="154">
        <f xml:space="preserve"> D208+D209</f>
        <v>4617.16</v>
      </c>
    </row>
    <row r="211" spans="1:4" x14ac:dyDescent="0.4">
      <c r="A211" s="24"/>
      <c r="B211" s="24"/>
      <c r="C211" s="24"/>
      <c r="D211" s="24"/>
    </row>
    <row r="212" spans="1:4" ht="15.5" thickBot="1" x14ac:dyDescent="0.45">
      <c r="A212" s="24"/>
      <c r="B212" s="24"/>
      <c r="C212" s="24"/>
      <c r="D212" s="24"/>
    </row>
    <row r="213" spans="1:4" x14ac:dyDescent="0.35">
      <c r="A213" s="702" t="s">
        <v>274</v>
      </c>
      <c r="B213" s="703"/>
      <c r="C213" s="703"/>
      <c r="D213" s="704"/>
    </row>
    <row r="214" spans="1:4" ht="30" x14ac:dyDescent="0.35">
      <c r="A214" s="170" t="s">
        <v>275</v>
      </c>
      <c r="B214" s="171" t="s">
        <v>278</v>
      </c>
      <c r="C214" s="172" t="s">
        <v>276</v>
      </c>
      <c r="D214" s="173" t="s">
        <v>277</v>
      </c>
    </row>
    <row r="215" spans="1:4" ht="15.5" thickBot="1" x14ac:dyDescent="0.4">
      <c r="A215" s="174">
        <v>1</v>
      </c>
      <c r="B215" s="178">
        <f>1/(C11/A215)</f>
        <v>3.7842951750000002E-3</v>
      </c>
      <c r="C215" s="175">
        <f>D210</f>
        <v>4617.16</v>
      </c>
      <c r="D215" s="181">
        <f>C215*B215</f>
        <v>17.47269631</v>
      </c>
    </row>
  </sheetData>
  <mergeCells count="108">
    <mergeCell ref="A213:D213"/>
    <mergeCell ref="B180:C180"/>
    <mergeCell ref="B181:C181"/>
    <mergeCell ref="A5:D5"/>
    <mergeCell ref="C6:D6"/>
    <mergeCell ref="C7:D7"/>
    <mergeCell ref="C8:D8"/>
    <mergeCell ref="C9:D9"/>
    <mergeCell ref="C10:D10"/>
    <mergeCell ref="B20:C20"/>
    <mergeCell ref="B21:C21"/>
    <mergeCell ref="B22:C22"/>
    <mergeCell ref="A45:B45"/>
    <mergeCell ref="A46:D46"/>
    <mergeCell ref="A47:D47"/>
    <mergeCell ref="A48:D48"/>
    <mergeCell ref="A52:B52"/>
    <mergeCell ref="A53:D53"/>
    <mergeCell ref="A23:D23"/>
    <mergeCell ref="A24:D24"/>
    <mergeCell ref="A25:D25"/>
    <mergeCell ref="B26:C26"/>
    <mergeCell ref="A39:C39"/>
    <mergeCell ref="A40:D40"/>
    <mergeCell ref="A1:D1"/>
    <mergeCell ref="A2:B2"/>
    <mergeCell ref="C2:D2"/>
    <mergeCell ref="A3:B3"/>
    <mergeCell ref="C3:D3"/>
    <mergeCell ref="A4:D4"/>
    <mergeCell ref="C17:D17"/>
    <mergeCell ref="A18:D18"/>
    <mergeCell ref="B19:C19"/>
    <mergeCell ref="C11:D11"/>
    <mergeCell ref="C12:D12"/>
    <mergeCell ref="A13:D13"/>
    <mergeCell ref="A14:D14"/>
    <mergeCell ref="A15:D15"/>
    <mergeCell ref="C16:D16"/>
    <mergeCell ref="A84:D84"/>
    <mergeCell ref="A85:D85"/>
    <mergeCell ref="A86:D86"/>
    <mergeCell ref="A99:B99"/>
    <mergeCell ref="A100:D100"/>
    <mergeCell ref="A111:B111"/>
    <mergeCell ref="A63:B63"/>
    <mergeCell ref="A64:D64"/>
    <mergeCell ref="A77:C77"/>
    <mergeCell ref="A78:D78"/>
    <mergeCell ref="A79:B79"/>
    <mergeCell ref="A83:C83"/>
    <mergeCell ref="A123:B123"/>
    <mergeCell ref="A124:B124"/>
    <mergeCell ref="A126:B126"/>
    <mergeCell ref="A127:D127"/>
    <mergeCell ref="A128:D128"/>
    <mergeCell ref="A129:D129"/>
    <mergeCell ref="A112:D112"/>
    <mergeCell ref="A116:B116"/>
    <mergeCell ref="A117:D117"/>
    <mergeCell ref="A118:B118"/>
    <mergeCell ref="A121:C121"/>
    <mergeCell ref="A122:B122"/>
    <mergeCell ref="A155:D155"/>
    <mergeCell ref="A156:B156"/>
    <mergeCell ref="A157:A164"/>
    <mergeCell ref="A165:B165"/>
    <mergeCell ref="A166:D166"/>
    <mergeCell ref="A167:B167"/>
    <mergeCell ref="A138:B138"/>
    <mergeCell ref="A139:D139"/>
    <mergeCell ref="A140:A144"/>
    <mergeCell ref="A145:B145"/>
    <mergeCell ref="A146:D146"/>
    <mergeCell ref="A154:B154"/>
    <mergeCell ref="B176:C176"/>
    <mergeCell ref="B177:C177"/>
    <mergeCell ref="B178:C178"/>
    <mergeCell ref="B179:C179"/>
    <mergeCell ref="B182:C182"/>
    <mergeCell ref="A183:C183"/>
    <mergeCell ref="A168:D168"/>
    <mergeCell ref="A169:B169"/>
    <mergeCell ref="A172:C172"/>
    <mergeCell ref="A173:D173"/>
    <mergeCell ref="A174:D174"/>
    <mergeCell ref="A175:D175"/>
    <mergeCell ref="A193:C193"/>
    <mergeCell ref="B194:D194"/>
    <mergeCell ref="A198:B198"/>
    <mergeCell ref="A199:B199"/>
    <mergeCell ref="A200:D200"/>
    <mergeCell ref="A201:C201"/>
    <mergeCell ref="A184:D184"/>
    <mergeCell ref="A185:C185"/>
    <mergeCell ref="A186:D186"/>
    <mergeCell ref="A187:D187"/>
    <mergeCell ref="A188:D188"/>
    <mergeCell ref="A191:C191"/>
    <mergeCell ref="A208:C208"/>
    <mergeCell ref="B209:C209"/>
    <mergeCell ref="A210:C210"/>
    <mergeCell ref="A202:D202"/>
    <mergeCell ref="B203:C203"/>
    <mergeCell ref="B204:C204"/>
    <mergeCell ref="B205:C205"/>
    <mergeCell ref="B206:C206"/>
    <mergeCell ref="B207:C207"/>
  </mergeCells>
  <pageMargins left="0.51181102362204722" right="0.51181102362204722" top="0.78740157480314965" bottom="0.78740157480314965" header="0.31496062992125984" footer="0.31496062992125984"/>
  <pageSetup scale="21" orientation="portrait" horizontalDpi="3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0F70D5-F7B6-43BD-8647-7FCF66280F0F}">
  <sheetPr>
    <pageSetUpPr fitToPage="1"/>
  </sheetPr>
  <dimension ref="A1:D215"/>
  <sheetViews>
    <sheetView view="pageBreakPreview" topLeftCell="A197" zoomScale="85" zoomScaleNormal="85" zoomScaleSheetLayoutView="85" workbookViewId="0">
      <selection activeCell="D67" sqref="D67"/>
    </sheetView>
  </sheetViews>
  <sheetFormatPr defaultColWidth="9.1796875" defaultRowHeight="15" customHeight="1" outlineLevelRow="3" x14ac:dyDescent="0.35"/>
  <cols>
    <col min="1" max="1" width="16.7265625" customWidth="1"/>
    <col min="2" max="2" width="76.81640625" customWidth="1"/>
    <col min="3" max="3" width="22.81640625" customWidth="1"/>
    <col min="4" max="4" width="23.54296875" customWidth="1"/>
  </cols>
  <sheetData>
    <row r="1" spans="1:4" x14ac:dyDescent="0.35">
      <c r="A1" s="683" t="s">
        <v>6</v>
      </c>
      <c r="B1" s="683"/>
      <c r="C1" s="683"/>
      <c r="D1" s="683"/>
    </row>
    <row r="2" spans="1:4" x14ac:dyDescent="0.35">
      <c r="A2" s="684" t="s">
        <v>12</v>
      </c>
      <c r="B2" s="684"/>
      <c r="C2" s="685" t="s">
        <v>519</v>
      </c>
      <c r="D2" s="686"/>
    </row>
    <row r="3" spans="1:4" x14ac:dyDescent="0.35">
      <c r="A3" s="684" t="s">
        <v>13</v>
      </c>
      <c r="B3" s="684"/>
      <c r="C3" s="685" t="s">
        <v>520</v>
      </c>
      <c r="D3" s="686"/>
    </row>
    <row r="4" spans="1:4" x14ac:dyDescent="0.35">
      <c r="A4" s="687"/>
      <c r="B4" s="687"/>
      <c r="C4" s="687"/>
      <c r="D4" s="687"/>
    </row>
    <row r="5" spans="1:4" x14ac:dyDescent="0.35">
      <c r="A5" s="687" t="s">
        <v>14</v>
      </c>
      <c r="B5" s="687"/>
      <c r="C5" s="687"/>
      <c r="D5" s="687"/>
    </row>
    <row r="6" spans="1:4" x14ac:dyDescent="0.35">
      <c r="A6" s="65" t="s">
        <v>15</v>
      </c>
      <c r="B6" s="63" t="s">
        <v>5</v>
      </c>
      <c r="C6" s="707" t="s">
        <v>144</v>
      </c>
      <c r="D6" s="708"/>
    </row>
    <row r="7" spans="1:4" x14ac:dyDescent="0.35">
      <c r="A7" s="65" t="s">
        <v>16</v>
      </c>
      <c r="B7" s="63" t="s">
        <v>4</v>
      </c>
      <c r="C7" s="690" t="s">
        <v>501</v>
      </c>
      <c r="D7" s="690"/>
    </row>
    <row r="8" spans="1:4" x14ac:dyDescent="0.35">
      <c r="A8" s="25" t="s">
        <v>17</v>
      </c>
      <c r="B8" s="26" t="s">
        <v>18</v>
      </c>
      <c r="C8" s="722" t="s">
        <v>521</v>
      </c>
      <c r="D8" s="723"/>
    </row>
    <row r="9" spans="1:4" x14ac:dyDescent="0.35">
      <c r="A9" s="65" t="s">
        <v>19</v>
      </c>
      <c r="B9" s="63" t="s">
        <v>20</v>
      </c>
      <c r="C9" s="700" t="s">
        <v>21</v>
      </c>
      <c r="D9" s="701"/>
    </row>
    <row r="10" spans="1:4" x14ac:dyDescent="0.35">
      <c r="A10" s="65" t="s">
        <v>22</v>
      </c>
      <c r="B10" s="63" t="s">
        <v>23</v>
      </c>
      <c r="C10" s="700" t="s">
        <v>262</v>
      </c>
      <c r="D10" s="701"/>
    </row>
    <row r="11" spans="1:4" x14ac:dyDescent="0.35">
      <c r="A11" s="65" t="s">
        <v>24</v>
      </c>
      <c r="B11" s="63" t="s">
        <v>251</v>
      </c>
      <c r="C11" s="691">
        <f>Resumo!F9</f>
        <v>738.38</v>
      </c>
      <c r="D11" s="692"/>
    </row>
    <row r="12" spans="1:4" x14ac:dyDescent="0.35">
      <c r="A12" s="65" t="s">
        <v>25</v>
      </c>
      <c r="B12" s="63" t="s">
        <v>26</v>
      </c>
      <c r="C12" s="693">
        <f>Resumo!I5</f>
        <v>20</v>
      </c>
      <c r="D12" s="694"/>
    </row>
    <row r="13" spans="1:4" x14ac:dyDescent="0.35">
      <c r="A13" s="695"/>
      <c r="B13" s="696"/>
      <c r="C13" s="696"/>
      <c r="D13" s="696"/>
    </row>
    <row r="14" spans="1:4" x14ac:dyDescent="0.35">
      <c r="A14" s="697" t="s">
        <v>27</v>
      </c>
      <c r="B14" s="698"/>
      <c r="C14" s="698"/>
      <c r="D14" s="699"/>
    </row>
    <row r="15" spans="1:4" x14ac:dyDescent="0.35">
      <c r="A15" s="690" t="s">
        <v>28</v>
      </c>
      <c r="B15" s="690"/>
      <c r="C15" s="690"/>
      <c r="D15" s="690"/>
    </row>
    <row r="16" spans="1:4" x14ac:dyDescent="0.35">
      <c r="A16" s="65">
        <v>1</v>
      </c>
      <c r="B16" s="63" t="s">
        <v>29</v>
      </c>
      <c r="C16" s="700" t="s">
        <v>266</v>
      </c>
      <c r="D16" s="701" t="s">
        <v>0</v>
      </c>
    </row>
    <row r="17" spans="1:4" x14ac:dyDescent="0.35">
      <c r="A17" s="65">
        <v>2</v>
      </c>
      <c r="B17" s="27" t="s">
        <v>30</v>
      </c>
      <c r="C17" s="688" t="s">
        <v>263</v>
      </c>
      <c r="D17" s="689"/>
    </row>
    <row r="18" spans="1:4" x14ac:dyDescent="0.35">
      <c r="A18" s="690" t="s">
        <v>31</v>
      </c>
      <c r="B18" s="690"/>
      <c r="C18" s="690"/>
      <c r="D18" s="690"/>
    </row>
    <row r="19" spans="1:4" x14ac:dyDescent="0.4">
      <c r="A19" s="65">
        <v>3</v>
      </c>
      <c r="B19" s="632" t="s">
        <v>3</v>
      </c>
      <c r="C19" s="633"/>
      <c r="D19" s="103">
        <v>1325</v>
      </c>
    </row>
    <row r="20" spans="1:4" x14ac:dyDescent="0.4">
      <c r="A20" s="65">
        <v>4</v>
      </c>
      <c r="B20" s="632" t="s">
        <v>252</v>
      </c>
      <c r="C20" s="633"/>
      <c r="D20" s="155">
        <v>220</v>
      </c>
    </row>
    <row r="21" spans="1:4" x14ac:dyDescent="0.35">
      <c r="A21" s="65">
        <v>5</v>
      </c>
      <c r="B21" s="632" t="s">
        <v>32</v>
      </c>
      <c r="C21" s="633"/>
      <c r="D21" s="73" t="s">
        <v>267</v>
      </c>
    </row>
    <row r="22" spans="1:4" x14ac:dyDescent="0.35">
      <c r="A22" s="65">
        <v>6</v>
      </c>
      <c r="B22" s="632" t="s">
        <v>2</v>
      </c>
      <c r="C22" s="633"/>
      <c r="D22" s="74">
        <v>44562</v>
      </c>
    </row>
    <row r="23" spans="1:4" x14ac:dyDescent="0.35">
      <c r="A23" s="700"/>
      <c r="B23" s="711"/>
      <c r="C23" s="711"/>
      <c r="D23" s="701"/>
    </row>
    <row r="24" spans="1:4" x14ac:dyDescent="0.35">
      <c r="A24" s="712" t="s">
        <v>33</v>
      </c>
      <c r="B24" s="712"/>
      <c r="C24" s="712"/>
      <c r="D24" s="712"/>
    </row>
    <row r="25" spans="1:4" x14ac:dyDescent="0.35">
      <c r="A25" s="713"/>
      <c r="B25" s="714"/>
      <c r="C25" s="714"/>
      <c r="D25" s="694"/>
    </row>
    <row r="26" spans="1:4" x14ac:dyDescent="0.35">
      <c r="A26" s="64">
        <v>1</v>
      </c>
      <c r="B26" s="634" t="s">
        <v>34</v>
      </c>
      <c r="C26" s="636"/>
      <c r="D26" s="64" t="s">
        <v>35</v>
      </c>
    </row>
    <row r="27" spans="1:4" outlineLevel="1" x14ac:dyDescent="0.35">
      <c r="A27" s="65" t="s">
        <v>36</v>
      </c>
      <c r="B27" s="63" t="s">
        <v>146</v>
      </c>
      <c r="C27" s="71">
        <f>'SR - ASG int'!C27</f>
        <v>220</v>
      </c>
      <c r="D27" s="104">
        <f>D19/220*C27</f>
        <v>1325</v>
      </c>
    </row>
    <row r="28" spans="1:4" outlineLevel="1" x14ac:dyDescent="0.35">
      <c r="A28" s="65" t="s">
        <v>16</v>
      </c>
      <c r="B28" s="63" t="s">
        <v>147</v>
      </c>
      <c r="C28" s="28">
        <v>0</v>
      </c>
      <c r="D28" s="104">
        <f>D27*10%</f>
        <v>132.5</v>
      </c>
    </row>
    <row r="29" spans="1:4" outlineLevel="1" x14ac:dyDescent="0.35">
      <c r="A29" s="65" t="s">
        <v>17</v>
      </c>
      <c r="B29" s="63" t="s">
        <v>38</v>
      </c>
      <c r="C29" s="28">
        <v>0.4</v>
      </c>
      <c r="D29" s="104">
        <v>0</v>
      </c>
    </row>
    <row r="30" spans="1:4" outlineLevel="1" x14ac:dyDescent="0.35">
      <c r="A30" s="65" t="s">
        <v>19</v>
      </c>
      <c r="B30" s="63" t="s">
        <v>148</v>
      </c>
      <c r="C30" s="156">
        <v>0</v>
      </c>
      <c r="D30" s="105">
        <f>SUM(D31:D32)</f>
        <v>0</v>
      </c>
    </row>
    <row r="31" spans="1:4" outlineLevel="2" x14ac:dyDescent="0.35">
      <c r="A31" s="78" t="s">
        <v>111</v>
      </c>
      <c r="B31" s="63" t="s">
        <v>149</v>
      </c>
      <c r="C31" s="79">
        <v>0.2</v>
      </c>
      <c r="D31" s="105">
        <f>(SUM(D27:D29)/C27)*C31*15*C30</f>
        <v>0</v>
      </c>
    </row>
    <row r="32" spans="1:4" outlineLevel="2" x14ac:dyDescent="0.35">
      <c r="A32" s="78" t="s">
        <v>112</v>
      </c>
      <c r="B32" s="63" t="s">
        <v>150</v>
      </c>
      <c r="C32" s="80">
        <f>C30*(60/52.5)/8</f>
        <v>0</v>
      </c>
      <c r="D32" s="105">
        <f>(SUM(D27:D29)/C27)*(C31)*15*C32</f>
        <v>0</v>
      </c>
    </row>
    <row r="33" spans="1:4" outlineLevel="1" x14ac:dyDescent="0.35">
      <c r="A33" s="65" t="s">
        <v>22</v>
      </c>
      <c r="B33" s="63" t="s">
        <v>151</v>
      </c>
      <c r="C33" s="28" t="s">
        <v>152</v>
      </c>
      <c r="D33" s="1">
        <f>SUM(D34:D37)</f>
        <v>0</v>
      </c>
    </row>
    <row r="34" spans="1:4" outlineLevel="2" x14ac:dyDescent="0.35">
      <c r="A34" s="81" t="s">
        <v>153</v>
      </c>
      <c r="B34" s="82" t="s">
        <v>154</v>
      </c>
      <c r="C34" s="83">
        <v>0</v>
      </c>
      <c r="D34" s="106">
        <f>(SUM($D$27:$D$29)/$C$27)*C34*1.5</f>
        <v>0</v>
      </c>
    </row>
    <row r="35" spans="1:4" outlineLevel="2" x14ac:dyDescent="0.35">
      <c r="A35" s="81" t="s">
        <v>155</v>
      </c>
      <c r="B35" s="84" t="s">
        <v>156</v>
      </c>
      <c r="C35" s="86">
        <v>0</v>
      </c>
      <c r="D35" s="106">
        <f>(SUM($D$27:$D$29)/$C$27)*C35*((60/52.5)*1.2*1.5)</f>
        <v>0</v>
      </c>
    </row>
    <row r="36" spans="1:4" outlineLevel="2" x14ac:dyDescent="0.35">
      <c r="A36" s="81" t="s">
        <v>157</v>
      </c>
      <c r="B36" s="82" t="s">
        <v>158</v>
      </c>
      <c r="C36" s="86">
        <f>C34*0.1429</f>
        <v>0</v>
      </c>
      <c r="D36" s="106">
        <f>(SUM($D$27:$D$29)/$C$27)*C36*2</f>
        <v>0</v>
      </c>
    </row>
    <row r="37" spans="1:4" outlineLevel="2" x14ac:dyDescent="0.35">
      <c r="A37" s="81" t="s">
        <v>159</v>
      </c>
      <c r="B37" s="82" t="s">
        <v>160</v>
      </c>
      <c r="C37" s="86">
        <f>C34*0.1429</f>
        <v>0</v>
      </c>
      <c r="D37" s="106">
        <f>(SUM($D$27:$D$29)/$C$27)*C37*((60/52.5)*1.2*2)</f>
        <v>0</v>
      </c>
    </row>
    <row r="38" spans="1:4" outlineLevel="1" x14ac:dyDescent="0.35">
      <c r="A38" s="65" t="s">
        <v>24</v>
      </c>
      <c r="B38" s="55" t="s">
        <v>524</v>
      </c>
      <c r="C38" s="56">
        <v>0</v>
      </c>
      <c r="D38" s="107">
        <v>58.67</v>
      </c>
    </row>
    <row r="39" spans="1:4" x14ac:dyDescent="0.35">
      <c r="A39" s="634" t="s">
        <v>40</v>
      </c>
      <c r="B39" s="635"/>
      <c r="C39" s="636"/>
      <c r="D39" s="108">
        <f>SUM(D27:D30,D33,D38)</f>
        <v>1516.17</v>
      </c>
    </row>
    <row r="40" spans="1:4" x14ac:dyDescent="0.35">
      <c r="A40" s="650"/>
      <c r="B40" s="650"/>
      <c r="C40" s="650"/>
      <c r="D40" s="650"/>
    </row>
    <row r="41" spans="1:4" outlineLevel="1" x14ac:dyDescent="0.35">
      <c r="A41" s="87" t="s">
        <v>161</v>
      </c>
      <c r="B41" s="109" t="s">
        <v>162</v>
      </c>
      <c r="C41" s="110" t="s">
        <v>163</v>
      </c>
      <c r="D41" s="110" t="s">
        <v>35</v>
      </c>
    </row>
    <row r="42" spans="1:4" outlineLevel="1" x14ac:dyDescent="0.35">
      <c r="A42" s="111" t="s">
        <v>36</v>
      </c>
      <c r="B42" s="27" t="s">
        <v>164</v>
      </c>
      <c r="C42" s="88">
        <v>0</v>
      </c>
      <c r="D42" s="112">
        <f>(SUM(D27)/$C$27)*C42*1.5</f>
        <v>0</v>
      </c>
    </row>
    <row r="43" spans="1:4" outlineLevel="1" x14ac:dyDescent="0.35">
      <c r="A43" s="113" t="s">
        <v>17</v>
      </c>
      <c r="B43" s="114" t="s">
        <v>165</v>
      </c>
      <c r="C43" s="115">
        <v>0</v>
      </c>
      <c r="D43" s="104">
        <f>C43*177</f>
        <v>0</v>
      </c>
    </row>
    <row r="44" spans="1:4" outlineLevel="1" x14ac:dyDescent="0.35">
      <c r="A44" s="65" t="s">
        <v>19</v>
      </c>
      <c r="B44" s="55" t="s">
        <v>39</v>
      </c>
      <c r="C44" s="56">
        <v>0</v>
      </c>
      <c r="D44" s="107">
        <v>0</v>
      </c>
    </row>
    <row r="45" spans="1:4" x14ac:dyDescent="0.35">
      <c r="A45" s="644" t="s">
        <v>166</v>
      </c>
      <c r="B45" s="645"/>
      <c r="C45" s="30">
        <f>D45/D39</f>
        <v>0</v>
      </c>
      <c r="D45" s="116">
        <f>SUM(D42:D43)</f>
        <v>0</v>
      </c>
    </row>
    <row r="46" spans="1:4" x14ac:dyDescent="0.35">
      <c r="A46" s="646"/>
      <c r="B46" s="647"/>
      <c r="C46" s="647"/>
      <c r="D46" s="648"/>
    </row>
    <row r="47" spans="1:4" x14ac:dyDescent="0.35">
      <c r="A47" s="663" t="s">
        <v>41</v>
      </c>
      <c r="B47" s="664"/>
      <c r="C47" s="664"/>
      <c r="D47" s="665"/>
    </row>
    <row r="48" spans="1:4" outlineLevel="1" x14ac:dyDescent="0.35">
      <c r="A48" s="646"/>
      <c r="B48" s="647"/>
      <c r="C48" s="647"/>
      <c r="D48" s="648"/>
    </row>
    <row r="49" spans="1:4" outlineLevel="1" x14ac:dyDescent="0.35">
      <c r="A49" s="110" t="s">
        <v>42</v>
      </c>
      <c r="B49" s="109" t="s">
        <v>43</v>
      </c>
      <c r="C49" s="110" t="s">
        <v>44</v>
      </c>
      <c r="D49" s="110" t="s">
        <v>35</v>
      </c>
    </row>
    <row r="50" spans="1:4" outlineLevel="2" x14ac:dyDescent="0.35">
      <c r="A50" s="113" t="s">
        <v>36</v>
      </c>
      <c r="B50" s="114" t="s">
        <v>45</v>
      </c>
      <c r="C50" s="29">
        <f>1/12</f>
        <v>8.3299999999999999E-2</v>
      </c>
      <c r="D50" s="104">
        <f>C50*D39</f>
        <v>126.3</v>
      </c>
    </row>
    <row r="51" spans="1:4" outlineLevel="2" x14ac:dyDescent="0.35">
      <c r="A51" s="113" t="s">
        <v>16</v>
      </c>
      <c r="B51" s="114" t="s">
        <v>113</v>
      </c>
      <c r="C51" s="29">
        <f>IF(C12&gt;60,(1/C12/3)*5,IF(C12&gt;48,(1/C12/3)*4,IF(C12&gt;36,(1/C12/3)*3,IF(C12&gt;24,(1/C12/3)*2,IF(C12&gt;12,(1/C12/3)*1,0)))))</f>
        <v>1.67E-2</v>
      </c>
      <c r="D51" s="104">
        <f>C51*D39</f>
        <v>25.32</v>
      </c>
    </row>
    <row r="52" spans="1:4" outlineLevel="1" x14ac:dyDescent="0.35">
      <c r="A52" s="644" t="s">
        <v>11</v>
      </c>
      <c r="B52" s="645"/>
      <c r="C52" s="30">
        <f>SUM(C50:C51)</f>
        <v>0.1</v>
      </c>
      <c r="D52" s="116">
        <f>SUM(D50:D51)</f>
        <v>151.62</v>
      </c>
    </row>
    <row r="53" spans="1:4" outlineLevel="1" x14ac:dyDescent="0.35">
      <c r="A53" s="646"/>
      <c r="B53" s="647"/>
      <c r="C53" s="647"/>
      <c r="D53" s="648"/>
    </row>
    <row r="54" spans="1:4" outlineLevel="1" x14ac:dyDescent="0.35">
      <c r="A54" s="110" t="s">
        <v>46</v>
      </c>
      <c r="B54" s="117" t="s">
        <v>47</v>
      </c>
      <c r="C54" s="110" t="s">
        <v>44</v>
      </c>
      <c r="D54" s="118" t="s">
        <v>35</v>
      </c>
    </row>
    <row r="55" spans="1:4" outlineLevel="2" x14ac:dyDescent="0.35">
      <c r="A55" s="111" t="s">
        <v>36</v>
      </c>
      <c r="B55" s="31" t="s">
        <v>48</v>
      </c>
      <c r="C55" s="32">
        <v>0.2</v>
      </c>
      <c r="D55" s="104">
        <f t="shared" ref="D55:D62" si="0">C55*($D$39+$D$52)</f>
        <v>333.56</v>
      </c>
    </row>
    <row r="56" spans="1:4" outlineLevel="2" x14ac:dyDescent="0.35">
      <c r="A56" s="111" t="s">
        <v>16</v>
      </c>
      <c r="B56" s="31" t="s">
        <v>49</v>
      </c>
      <c r="C56" s="32">
        <v>2.5000000000000001E-2</v>
      </c>
      <c r="D56" s="104">
        <f t="shared" si="0"/>
        <v>41.69</v>
      </c>
    </row>
    <row r="57" spans="1:4" outlineLevel="2" x14ac:dyDescent="0.35">
      <c r="A57" s="111" t="s">
        <v>17</v>
      </c>
      <c r="B57" s="31" t="s">
        <v>167</v>
      </c>
      <c r="C57" s="66">
        <v>0.03</v>
      </c>
      <c r="D57" s="104">
        <f t="shared" si="0"/>
        <v>50.03</v>
      </c>
    </row>
    <row r="58" spans="1:4" outlineLevel="2" x14ac:dyDescent="0.35">
      <c r="A58" s="111" t="s">
        <v>19</v>
      </c>
      <c r="B58" s="31" t="s">
        <v>168</v>
      </c>
      <c r="C58" s="32">
        <v>1.4999999999999999E-2</v>
      </c>
      <c r="D58" s="104">
        <f t="shared" si="0"/>
        <v>25.02</v>
      </c>
    </row>
    <row r="59" spans="1:4" outlineLevel="2" x14ac:dyDescent="0.35">
      <c r="A59" s="111" t="s">
        <v>22</v>
      </c>
      <c r="B59" s="31" t="s">
        <v>169</v>
      </c>
      <c r="C59" s="32">
        <v>0.01</v>
      </c>
      <c r="D59" s="104">
        <f t="shared" si="0"/>
        <v>16.68</v>
      </c>
    </row>
    <row r="60" spans="1:4" outlineLevel="2" x14ac:dyDescent="0.35">
      <c r="A60" s="111" t="s">
        <v>24</v>
      </c>
      <c r="B60" s="31" t="s">
        <v>50</v>
      </c>
      <c r="C60" s="32">
        <v>6.0000000000000001E-3</v>
      </c>
      <c r="D60" s="104">
        <f t="shared" si="0"/>
        <v>10.01</v>
      </c>
    </row>
    <row r="61" spans="1:4" outlineLevel="2" x14ac:dyDescent="0.35">
      <c r="A61" s="111" t="s">
        <v>25</v>
      </c>
      <c r="B61" s="31" t="s">
        <v>51</v>
      </c>
      <c r="C61" s="32">
        <v>2E-3</v>
      </c>
      <c r="D61" s="104">
        <f t="shared" si="0"/>
        <v>3.34</v>
      </c>
    </row>
    <row r="62" spans="1:4" outlineLevel="2" x14ac:dyDescent="0.35">
      <c r="A62" s="111" t="s">
        <v>52</v>
      </c>
      <c r="B62" s="31" t="s">
        <v>53</v>
      </c>
      <c r="C62" s="32">
        <v>0.08</v>
      </c>
      <c r="D62" s="104">
        <f t="shared" si="0"/>
        <v>133.41999999999999</v>
      </c>
    </row>
    <row r="63" spans="1:4" outlineLevel="1" x14ac:dyDescent="0.35">
      <c r="A63" s="644" t="s">
        <v>11</v>
      </c>
      <c r="B63" s="645"/>
      <c r="C63" s="33">
        <f>SUM(C55:C62)</f>
        <v>0.36799999999999999</v>
      </c>
      <c r="D63" s="119">
        <f>SUM(D55:D62)</f>
        <v>613.75</v>
      </c>
    </row>
    <row r="64" spans="1:4" outlineLevel="1" x14ac:dyDescent="0.35">
      <c r="A64" s="646"/>
      <c r="B64" s="647"/>
      <c r="C64" s="647"/>
      <c r="D64" s="648"/>
    </row>
    <row r="65" spans="1:4" outlineLevel="1" x14ac:dyDescent="0.35">
      <c r="A65" s="110" t="s">
        <v>54</v>
      </c>
      <c r="B65" s="117" t="s">
        <v>55</v>
      </c>
      <c r="C65" s="110" t="s">
        <v>56</v>
      </c>
      <c r="D65" s="110" t="s">
        <v>35</v>
      </c>
    </row>
    <row r="66" spans="1:4" outlineLevel="2" x14ac:dyDescent="0.35">
      <c r="A66" s="111" t="s">
        <v>36</v>
      </c>
      <c r="B66" s="31" t="s">
        <v>57</v>
      </c>
      <c r="C66" s="120">
        <f>CRA!C66</f>
        <v>3.5</v>
      </c>
      <c r="D66" s="121">
        <f>IF(D67+D68&gt;0,(D67+D68),0)</f>
        <v>74.5</v>
      </c>
    </row>
    <row r="67" spans="1:4" outlineLevel="3" x14ac:dyDescent="0.35">
      <c r="A67" s="122" t="s">
        <v>110</v>
      </c>
      <c r="B67" s="31" t="s">
        <v>170</v>
      </c>
      <c r="C67" s="123">
        <v>22</v>
      </c>
      <c r="D67" s="124">
        <f>C66*C67*2</f>
        <v>154</v>
      </c>
    </row>
    <row r="68" spans="1:4" outlineLevel="3" x14ac:dyDescent="0.35">
      <c r="A68" s="122" t="s">
        <v>114</v>
      </c>
      <c r="B68" s="31" t="s">
        <v>171</v>
      </c>
      <c r="C68" s="125">
        <v>0.06</v>
      </c>
      <c r="D68" s="124">
        <f>-D27*C68</f>
        <v>-79.5</v>
      </c>
    </row>
    <row r="69" spans="1:4" outlineLevel="2" x14ac:dyDescent="0.35">
      <c r="A69" s="111" t="s">
        <v>16</v>
      </c>
      <c r="B69" s="31" t="s">
        <v>58</v>
      </c>
      <c r="C69" s="382">
        <f>290/22</f>
        <v>13.182</v>
      </c>
      <c r="D69" s="121">
        <f>D70+D71</f>
        <v>290</v>
      </c>
    </row>
    <row r="70" spans="1:4" outlineLevel="3" x14ac:dyDescent="0.35">
      <c r="A70" s="122" t="s">
        <v>90</v>
      </c>
      <c r="B70" s="31" t="s">
        <v>172</v>
      </c>
      <c r="C70" s="123">
        <v>22</v>
      </c>
      <c r="D70" s="124">
        <f>C69*C70</f>
        <v>290</v>
      </c>
    </row>
    <row r="71" spans="1:4" outlineLevel="3" x14ac:dyDescent="0.35">
      <c r="A71" s="122" t="s">
        <v>115</v>
      </c>
      <c r="B71" s="31" t="s">
        <v>91</v>
      </c>
      <c r="C71" s="127">
        <f>'SR - ASG int'!C71</f>
        <v>0</v>
      </c>
      <c r="D71" s="124">
        <f>D70*C71</f>
        <v>0</v>
      </c>
    </row>
    <row r="72" spans="1:4" outlineLevel="2" x14ac:dyDescent="0.35">
      <c r="A72" s="111" t="s">
        <v>17</v>
      </c>
      <c r="B72" s="75" t="s">
        <v>291</v>
      </c>
      <c r="C72" s="126">
        <f>'SR - ASG int'!C72</f>
        <v>9.6999999999999993</v>
      </c>
      <c r="D72" s="129">
        <f>C72</f>
        <v>9.6999999999999993</v>
      </c>
    </row>
    <row r="73" spans="1:4" outlineLevel="2" x14ac:dyDescent="0.35">
      <c r="A73" s="111" t="s">
        <v>19</v>
      </c>
      <c r="B73" s="76" t="s">
        <v>293</v>
      </c>
      <c r="C73" s="126">
        <f>140*3</f>
        <v>420</v>
      </c>
      <c r="D73" s="129">
        <f>C73*C152</f>
        <v>0.84</v>
      </c>
    </row>
    <row r="74" spans="1:4" outlineLevel="2" x14ac:dyDescent="0.35">
      <c r="A74" s="111" t="s">
        <v>22</v>
      </c>
      <c r="B74" s="75" t="s">
        <v>292</v>
      </c>
      <c r="C74" s="126">
        <v>21</v>
      </c>
      <c r="D74" s="129">
        <f>C74</f>
        <v>21</v>
      </c>
    </row>
    <row r="75" spans="1:4" outlineLevel="2" x14ac:dyDescent="0.35">
      <c r="A75" s="111" t="s">
        <v>24</v>
      </c>
      <c r="B75" s="75" t="s">
        <v>553</v>
      </c>
      <c r="C75" s="128">
        <v>0</v>
      </c>
      <c r="D75" s="129">
        <v>97</v>
      </c>
    </row>
    <row r="76" spans="1:4" outlineLevel="2" x14ac:dyDescent="0.35">
      <c r="A76" s="111" t="s">
        <v>25</v>
      </c>
      <c r="B76" s="75" t="s">
        <v>39</v>
      </c>
      <c r="C76" s="126">
        <v>0</v>
      </c>
      <c r="D76" s="130">
        <f>C76</f>
        <v>0</v>
      </c>
    </row>
    <row r="77" spans="1:4" outlineLevel="1" x14ac:dyDescent="0.35">
      <c r="A77" s="644" t="s">
        <v>59</v>
      </c>
      <c r="B77" s="657"/>
      <c r="C77" s="645"/>
      <c r="D77" s="116">
        <f>SUM(D66,D69,D72:D76)</f>
        <v>493.04</v>
      </c>
    </row>
    <row r="78" spans="1:4" outlineLevel="1" x14ac:dyDescent="0.35">
      <c r="A78" s="646"/>
      <c r="B78" s="647"/>
      <c r="C78" s="647"/>
      <c r="D78" s="648"/>
    </row>
    <row r="79" spans="1:4" outlineLevel="1" x14ac:dyDescent="0.35">
      <c r="A79" s="661" t="s">
        <v>60</v>
      </c>
      <c r="B79" s="662"/>
      <c r="C79" s="110" t="s">
        <v>44</v>
      </c>
      <c r="D79" s="110" t="s">
        <v>35</v>
      </c>
    </row>
    <row r="80" spans="1:4" outlineLevel="1" x14ac:dyDescent="0.35">
      <c r="A80" s="111" t="s">
        <v>61</v>
      </c>
      <c r="B80" s="31" t="s">
        <v>43</v>
      </c>
      <c r="C80" s="34">
        <f>C52</f>
        <v>0.1</v>
      </c>
      <c r="D80" s="104">
        <f>D52</f>
        <v>151.62</v>
      </c>
    </row>
    <row r="81" spans="1:4" outlineLevel="1" x14ac:dyDescent="0.35">
      <c r="A81" s="111" t="s">
        <v>46</v>
      </c>
      <c r="B81" s="31" t="s">
        <v>47</v>
      </c>
      <c r="C81" s="34">
        <f>C63</f>
        <v>0.36799999999999999</v>
      </c>
      <c r="D81" s="104">
        <f>D63</f>
        <v>613.75</v>
      </c>
    </row>
    <row r="82" spans="1:4" outlineLevel="1" x14ac:dyDescent="0.35">
      <c r="A82" s="111" t="s">
        <v>62</v>
      </c>
      <c r="B82" s="31" t="s">
        <v>55</v>
      </c>
      <c r="C82" s="34">
        <f>D77/D39</f>
        <v>0.32519999999999999</v>
      </c>
      <c r="D82" s="104">
        <f>D77</f>
        <v>493.04</v>
      </c>
    </row>
    <row r="83" spans="1:4" x14ac:dyDescent="0.35">
      <c r="A83" s="644" t="s">
        <v>11</v>
      </c>
      <c r="B83" s="657"/>
      <c r="C83" s="645"/>
      <c r="D83" s="116">
        <f>SUM(D80:D82)</f>
        <v>1258.4100000000001</v>
      </c>
    </row>
    <row r="84" spans="1:4" x14ac:dyDescent="0.35">
      <c r="A84" s="646"/>
      <c r="B84" s="647"/>
      <c r="C84" s="647"/>
      <c r="D84" s="648"/>
    </row>
    <row r="85" spans="1:4" x14ac:dyDescent="0.35">
      <c r="A85" s="680" t="s">
        <v>173</v>
      </c>
      <c r="B85" s="681"/>
      <c r="C85" s="681"/>
      <c r="D85" s="682"/>
    </row>
    <row r="86" spans="1:4" outlineLevel="1" x14ac:dyDescent="0.35">
      <c r="A86" s="646"/>
      <c r="B86" s="647"/>
      <c r="C86" s="647"/>
      <c r="D86" s="648"/>
    </row>
    <row r="87" spans="1:4" outlineLevel="1" x14ac:dyDescent="0.35">
      <c r="A87" s="64" t="s">
        <v>174</v>
      </c>
      <c r="B87" s="109" t="s">
        <v>175</v>
      </c>
      <c r="C87" s="110" t="s">
        <v>44</v>
      </c>
      <c r="D87" s="110" t="s">
        <v>35</v>
      </c>
    </row>
    <row r="88" spans="1:4" outlineLevel="2" x14ac:dyDescent="0.35">
      <c r="A88" s="35" t="s">
        <v>36</v>
      </c>
      <c r="B88" s="36" t="s">
        <v>176</v>
      </c>
      <c r="C88" s="35" t="s">
        <v>152</v>
      </c>
      <c r="D88" s="131">
        <f>IF(C99&gt;1,SUM(D89:D92)*2,SUM(D89:D92))</f>
        <v>2136.5500000000002</v>
      </c>
    </row>
    <row r="89" spans="1:4" outlineLevel="3" x14ac:dyDescent="0.35">
      <c r="A89" s="37" t="s">
        <v>177</v>
      </c>
      <c r="B89" s="38" t="s">
        <v>178</v>
      </c>
      <c r="C89" s="35">
        <f>(IF(C12&gt;60,45,IF(C12&gt;48,42,IF(C12&gt;36,39,IF(C12&gt;24,36,IF(C12&gt;12,33,30)))))/30)</f>
        <v>1.1000000000000001</v>
      </c>
      <c r="D89" s="131">
        <f>D39*C89</f>
        <v>1667.79</v>
      </c>
    </row>
    <row r="90" spans="1:4" outlineLevel="3" x14ac:dyDescent="0.35">
      <c r="A90" s="37" t="s">
        <v>179</v>
      </c>
      <c r="B90" s="38" t="s">
        <v>180</v>
      </c>
      <c r="C90" s="29">
        <f>1/12</f>
        <v>8.3299999999999999E-2</v>
      </c>
      <c r="D90" s="131">
        <f>C90*D89</f>
        <v>138.93</v>
      </c>
    </row>
    <row r="91" spans="1:4" outlineLevel="3" x14ac:dyDescent="0.35">
      <c r="A91" s="37" t="s">
        <v>181</v>
      </c>
      <c r="B91" s="38" t="s">
        <v>182</v>
      </c>
      <c r="C91" s="29">
        <f>(1/12)+(1/12/3)</f>
        <v>0.1111</v>
      </c>
      <c r="D91" s="132">
        <f>C91*D89</f>
        <v>185.29</v>
      </c>
    </row>
    <row r="92" spans="1:4" outlineLevel="3" x14ac:dyDescent="0.35">
      <c r="A92" s="37" t="s">
        <v>183</v>
      </c>
      <c r="B92" s="38" t="s">
        <v>184</v>
      </c>
      <c r="C92" s="39">
        <v>0.08</v>
      </c>
      <c r="D92" s="131">
        <f>SUM(D89:D90)*C92</f>
        <v>144.54</v>
      </c>
    </row>
    <row r="93" spans="1:4" outlineLevel="2" x14ac:dyDescent="0.35">
      <c r="A93" s="35" t="s">
        <v>16</v>
      </c>
      <c r="B93" s="36" t="s">
        <v>185</v>
      </c>
      <c r="C93" s="40">
        <v>0.4</v>
      </c>
      <c r="D93" s="131">
        <f>C93*D94</f>
        <v>1069</v>
      </c>
    </row>
    <row r="94" spans="1:4" outlineLevel="3" x14ac:dyDescent="0.35">
      <c r="A94" s="35" t="s">
        <v>186</v>
      </c>
      <c r="B94" s="36" t="s">
        <v>187</v>
      </c>
      <c r="C94" s="40">
        <f>C62</f>
        <v>0.08</v>
      </c>
      <c r="D94" s="131">
        <f>C94*D95</f>
        <v>2672.5</v>
      </c>
    </row>
    <row r="95" spans="1:4" outlineLevel="3" x14ac:dyDescent="0.35">
      <c r="A95" s="35" t="s">
        <v>188</v>
      </c>
      <c r="B95" s="41" t="s">
        <v>116</v>
      </c>
      <c r="C95" s="42" t="s">
        <v>152</v>
      </c>
      <c r="D95" s="132">
        <f>SUM(D96:D98)</f>
        <v>33406.28</v>
      </c>
    </row>
    <row r="96" spans="1:4" outlineLevel="3" x14ac:dyDescent="0.35">
      <c r="A96" s="37" t="s">
        <v>189</v>
      </c>
      <c r="B96" s="38" t="s">
        <v>190</v>
      </c>
      <c r="C96" s="43">
        <f>C12-C98</f>
        <v>19</v>
      </c>
      <c r="D96" s="131">
        <f>D39*C96</f>
        <v>28807.23</v>
      </c>
    </row>
    <row r="97" spans="1:4" outlineLevel="3" x14ac:dyDescent="0.35">
      <c r="A97" s="37" t="s">
        <v>191</v>
      </c>
      <c r="B97" s="38" t="s">
        <v>192</v>
      </c>
      <c r="C97" s="44">
        <f>C12/12</f>
        <v>1.7</v>
      </c>
      <c r="D97" s="131">
        <f>D39*C97</f>
        <v>2577.4899999999998</v>
      </c>
    </row>
    <row r="98" spans="1:4" outlineLevel="3" x14ac:dyDescent="0.35">
      <c r="A98" s="37" t="s">
        <v>193</v>
      </c>
      <c r="B98" s="38" t="s">
        <v>194</v>
      </c>
      <c r="C98" s="42">
        <f>IF(C12&gt;60,5,IF(C12&gt;48,4,IF(C12&gt;36,3,IF(C12&gt;24,2,IF(C12&gt;12,1,0)))))</f>
        <v>1</v>
      </c>
      <c r="D98" s="132">
        <f>D39*C98*1.33333333333333</f>
        <v>2021.56</v>
      </c>
    </row>
    <row r="99" spans="1:4" outlineLevel="1" x14ac:dyDescent="0.35">
      <c r="A99" s="644" t="s">
        <v>11</v>
      </c>
      <c r="B99" s="645"/>
      <c r="C99" s="67">
        <f>'SR - ASG int'!C99</f>
        <v>5.5500000000000001E-2</v>
      </c>
      <c r="D99" s="116">
        <f>IF(C99&gt;1,D88+D93,(D88+D93)*C99)</f>
        <v>177.91</v>
      </c>
    </row>
    <row r="100" spans="1:4" outlineLevel="1" x14ac:dyDescent="0.35">
      <c r="A100" s="658"/>
      <c r="B100" s="659"/>
      <c r="C100" s="659"/>
      <c r="D100" s="660"/>
    </row>
    <row r="101" spans="1:4" outlineLevel="1" x14ac:dyDescent="0.35">
      <c r="A101" s="64" t="s">
        <v>195</v>
      </c>
      <c r="B101" s="109" t="s">
        <v>196</v>
      </c>
      <c r="C101" s="110" t="s">
        <v>44</v>
      </c>
      <c r="D101" s="110" t="s">
        <v>35</v>
      </c>
    </row>
    <row r="102" spans="1:4" outlineLevel="2" x14ac:dyDescent="0.35">
      <c r="A102" s="35" t="s">
        <v>36</v>
      </c>
      <c r="B102" s="41" t="s">
        <v>197</v>
      </c>
      <c r="C102" s="45">
        <f>IF(C111&gt;1,(1/30*7)*2,(1/30*7))</f>
        <v>0.23330000000000001</v>
      </c>
      <c r="D102" s="132">
        <f>C102*SUM(D103:D107)</f>
        <v>678.53</v>
      </c>
    </row>
    <row r="103" spans="1:4" outlineLevel="3" x14ac:dyDescent="0.35">
      <c r="A103" s="37" t="s">
        <v>177</v>
      </c>
      <c r="B103" s="38" t="s">
        <v>198</v>
      </c>
      <c r="C103" s="35">
        <v>1</v>
      </c>
      <c r="D103" s="131">
        <f>D39</f>
        <v>1516.17</v>
      </c>
    </row>
    <row r="104" spans="1:4" outlineLevel="3" x14ac:dyDescent="0.35">
      <c r="A104" s="37" t="s">
        <v>179</v>
      </c>
      <c r="B104" s="38" t="s">
        <v>199</v>
      </c>
      <c r="C104" s="29">
        <f>1/12</f>
        <v>8.3299999999999999E-2</v>
      </c>
      <c r="D104" s="131">
        <f>C104*D103</f>
        <v>126.3</v>
      </c>
    </row>
    <row r="105" spans="1:4" outlineLevel="3" x14ac:dyDescent="0.35">
      <c r="A105" s="37" t="s">
        <v>181</v>
      </c>
      <c r="B105" s="38" t="s">
        <v>200</v>
      </c>
      <c r="C105" s="29">
        <f>(1/12)+(1/12/3)</f>
        <v>0.1111</v>
      </c>
      <c r="D105" s="131">
        <f>C105*D103</f>
        <v>168.45</v>
      </c>
    </row>
    <row r="106" spans="1:4" outlineLevel="3" x14ac:dyDescent="0.35">
      <c r="A106" s="37" t="s">
        <v>183</v>
      </c>
      <c r="B106" s="46" t="s">
        <v>63</v>
      </c>
      <c r="C106" s="47">
        <f>C63</f>
        <v>0.36799999999999999</v>
      </c>
      <c r="D106" s="132">
        <f>C106*(D103+D104)</f>
        <v>604.42999999999995</v>
      </c>
    </row>
    <row r="107" spans="1:4" outlineLevel="3" x14ac:dyDescent="0.35">
      <c r="A107" s="37" t="s">
        <v>201</v>
      </c>
      <c r="B107" s="46" t="s">
        <v>202</v>
      </c>
      <c r="C107" s="42">
        <v>1</v>
      </c>
      <c r="D107" s="132">
        <f>D77</f>
        <v>493.04</v>
      </c>
    </row>
    <row r="108" spans="1:4" outlineLevel="2" x14ac:dyDescent="0.35">
      <c r="A108" s="35" t="s">
        <v>16</v>
      </c>
      <c r="B108" s="36" t="s">
        <v>203</v>
      </c>
      <c r="C108" s="40">
        <v>0.4</v>
      </c>
      <c r="D108" s="131">
        <f>C108*D109</f>
        <v>1069</v>
      </c>
    </row>
    <row r="109" spans="1:4" outlineLevel="2" x14ac:dyDescent="0.35">
      <c r="A109" s="35" t="s">
        <v>186</v>
      </c>
      <c r="B109" s="36" t="s">
        <v>187</v>
      </c>
      <c r="C109" s="40">
        <f>C62</f>
        <v>0.08</v>
      </c>
      <c r="D109" s="131">
        <f>C109*D110</f>
        <v>2672.5</v>
      </c>
    </row>
    <row r="110" spans="1:4" outlineLevel="2" x14ac:dyDescent="0.35">
      <c r="A110" s="35" t="s">
        <v>188</v>
      </c>
      <c r="B110" s="41" t="s">
        <v>116</v>
      </c>
      <c r="C110" s="42" t="s">
        <v>152</v>
      </c>
      <c r="D110" s="132">
        <f>D95</f>
        <v>33406.28</v>
      </c>
    </row>
    <row r="111" spans="1:4" outlineLevel="1" x14ac:dyDescent="0.35">
      <c r="A111" s="644" t="s">
        <v>11</v>
      </c>
      <c r="B111" s="645"/>
      <c r="C111" s="67">
        <f>'SR - ASG int'!C111</f>
        <v>0.94450000000000001</v>
      </c>
      <c r="D111" s="116">
        <f>IF(C111&gt;1,D102+D108,(D102+D108)*C111)</f>
        <v>1650.54</v>
      </c>
    </row>
    <row r="112" spans="1:4" outlineLevel="1" x14ac:dyDescent="0.35">
      <c r="A112" s="658"/>
      <c r="B112" s="659"/>
      <c r="C112" s="659"/>
      <c r="D112" s="660"/>
    </row>
    <row r="113" spans="1:4" outlineLevel="1" x14ac:dyDescent="0.35">
      <c r="A113" s="64" t="s">
        <v>204</v>
      </c>
      <c r="B113" s="109" t="s">
        <v>205</v>
      </c>
      <c r="C113" s="110" t="s">
        <v>44</v>
      </c>
      <c r="D113" s="110" t="s">
        <v>35</v>
      </c>
    </row>
    <row r="114" spans="1:4" outlineLevel="2" x14ac:dyDescent="0.35">
      <c r="A114" s="111" t="s">
        <v>36</v>
      </c>
      <c r="B114" s="31" t="s">
        <v>206</v>
      </c>
      <c r="C114" s="34">
        <f>IF(C12&gt;60,(D39/12*(C12-60))/C12/D39,IF(C12&gt;48,(D39/12*(C12-48))/C12/D39,IF(C12&gt;36,(D39/12*(C12-36))/C12/D39,IF(C12&gt;24,(D39/12*(C12-24))/C12/D39,IF(C12&gt;12,((D39/12*(C12-12))/C12/D39),1/12)))))</f>
        <v>3.3300000000000003E-2</v>
      </c>
      <c r="D114" s="133">
        <f>C114*D39</f>
        <v>50.49</v>
      </c>
    </row>
    <row r="115" spans="1:4" outlineLevel="2" x14ac:dyDescent="0.35">
      <c r="A115" s="111" t="s">
        <v>16</v>
      </c>
      <c r="B115" s="48" t="s">
        <v>207</v>
      </c>
      <c r="C115" s="34">
        <f>C114/3</f>
        <v>1.11E-2</v>
      </c>
      <c r="D115" s="134">
        <f>C115*D39</f>
        <v>16.829999999999998</v>
      </c>
    </row>
    <row r="116" spans="1:4" outlineLevel="1" x14ac:dyDescent="0.35">
      <c r="A116" s="644" t="s">
        <v>11</v>
      </c>
      <c r="B116" s="645"/>
      <c r="C116" s="30">
        <f>C114+C115</f>
        <v>4.4400000000000002E-2</v>
      </c>
      <c r="D116" s="116">
        <f>SUM(D114:D115)</f>
        <v>67.319999999999993</v>
      </c>
    </row>
    <row r="117" spans="1:4" outlineLevel="1" x14ac:dyDescent="0.35">
      <c r="A117" s="658"/>
      <c r="B117" s="659"/>
      <c r="C117" s="659"/>
      <c r="D117" s="660"/>
    </row>
    <row r="118" spans="1:4" outlineLevel="1" x14ac:dyDescent="0.35">
      <c r="A118" s="661" t="s">
        <v>208</v>
      </c>
      <c r="B118" s="662"/>
      <c r="C118" s="110" t="s">
        <v>44</v>
      </c>
      <c r="D118" s="110" t="s">
        <v>35</v>
      </c>
    </row>
    <row r="119" spans="1:4" outlineLevel="1" x14ac:dyDescent="0.35">
      <c r="A119" s="111" t="s">
        <v>174</v>
      </c>
      <c r="B119" s="31" t="s">
        <v>175</v>
      </c>
      <c r="C119" s="34">
        <f>C99</f>
        <v>5.5500000000000001E-2</v>
      </c>
      <c r="D119" s="104">
        <f>D99</f>
        <v>177.91</v>
      </c>
    </row>
    <row r="120" spans="1:4" outlineLevel="1" x14ac:dyDescent="0.35">
      <c r="A120" s="113" t="s">
        <v>195</v>
      </c>
      <c r="B120" s="31" t="s">
        <v>196</v>
      </c>
      <c r="C120" s="49">
        <f>C111</f>
        <v>0.94450000000000001</v>
      </c>
      <c r="D120" s="104">
        <f>D111</f>
        <v>1650.54</v>
      </c>
    </row>
    <row r="121" spans="1:4" outlineLevel="1" x14ac:dyDescent="0.35">
      <c r="A121" s="679" t="s">
        <v>209</v>
      </c>
      <c r="B121" s="679"/>
      <c r="C121" s="679"/>
      <c r="D121" s="135">
        <f>D119+D120</f>
        <v>1828.45</v>
      </c>
    </row>
    <row r="122" spans="1:4" outlineLevel="1" x14ac:dyDescent="0.35">
      <c r="A122" s="675" t="s">
        <v>210</v>
      </c>
      <c r="B122" s="676"/>
      <c r="C122" s="68">
        <f>'SR - ASG int'!C122</f>
        <v>0.63570000000000004</v>
      </c>
      <c r="D122" s="58">
        <f>C122*D121</f>
        <v>1162.3499999999999</v>
      </c>
    </row>
    <row r="123" spans="1:4" outlineLevel="1" x14ac:dyDescent="0.35">
      <c r="A123" s="675" t="s">
        <v>211</v>
      </c>
      <c r="B123" s="676"/>
      <c r="C123" s="68">
        <f>'SR - ASG int'!C123</f>
        <v>1.0999999999999999E-2</v>
      </c>
      <c r="D123" s="58">
        <f>(D50+(D116/2))*-C123</f>
        <v>-1.76</v>
      </c>
    </row>
    <row r="124" spans="1:4" outlineLevel="1" x14ac:dyDescent="0.35">
      <c r="A124" s="677" t="s">
        <v>212</v>
      </c>
      <c r="B124" s="678"/>
      <c r="C124" s="72">
        <f>1/C12</f>
        <v>0.05</v>
      </c>
      <c r="D124" s="59">
        <f>(D122+D123)*C124</f>
        <v>58.03</v>
      </c>
    </row>
    <row r="125" spans="1:4" outlineLevel="1" x14ac:dyDescent="0.35">
      <c r="A125" s="113" t="s">
        <v>204</v>
      </c>
      <c r="B125" s="31" t="s">
        <v>213</v>
      </c>
      <c r="C125" s="49"/>
      <c r="D125" s="124">
        <f>D116</f>
        <v>67.319999999999993</v>
      </c>
    </row>
    <row r="126" spans="1:4" x14ac:dyDescent="0.35">
      <c r="A126" s="644" t="s">
        <v>11</v>
      </c>
      <c r="B126" s="645"/>
      <c r="C126" s="30"/>
      <c r="D126" s="136">
        <f>D124+D125</f>
        <v>125.35</v>
      </c>
    </row>
    <row r="127" spans="1:4" x14ac:dyDescent="0.35">
      <c r="A127" s="646"/>
      <c r="B127" s="647"/>
      <c r="C127" s="647"/>
      <c r="D127" s="648"/>
    </row>
    <row r="128" spans="1:4" x14ac:dyDescent="0.35">
      <c r="A128" s="663" t="s">
        <v>64</v>
      </c>
      <c r="B128" s="664"/>
      <c r="C128" s="664"/>
      <c r="D128" s="665"/>
    </row>
    <row r="129" spans="1:4" outlineLevel="1" x14ac:dyDescent="0.35">
      <c r="A129" s="658"/>
      <c r="B129" s="659"/>
      <c r="C129" s="659"/>
      <c r="D129" s="660"/>
    </row>
    <row r="130" spans="1:4" outlineLevel="1" x14ac:dyDescent="0.35">
      <c r="A130" s="110" t="s">
        <v>65</v>
      </c>
      <c r="B130" s="117" t="s">
        <v>214</v>
      </c>
      <c r="C130" s="30" t="s">
        <v>44</v>
      </c>
      <c r="D130" s="110" t="s">
        <v>35</v>
      </c>
    </row>
    <row r="131" spans="1:4" outlineLevel="2" x14ac:dyDescent="0.35">
      <c r="A131" s="137" t="s">
        <v>36</v>
      </c>
      <c r="B131" s="89" t="s">
        <v>66</v>
      </c>
      <c r="C131" s="50">
        <f>IF(C12&gt;60,5/C12,IF(C12&gt;48,4/C12,IF(C12&gt;36,3/C12,IF(C12&gt;24,2/C12,IF(C12&gt;12,1/C12,0)))))</f>
        <v>0.05</v>
      </c>
      <c r="D131" s="133">
        <f>SUM(D132:D136)</f>
        <v>97.99</v>
      </c>
    </row>
    <row r="132" spans="1:4" outlineLevel="3" x14ac:dyDescent="0.35">
      <c r="A132" s="138" t="s">
        <v>215</v>
      </c>
      <c r="B132" s="90" t="s">
        <v>216</v>
      </c>
      <c r="C132" s="139">
        <f>D39</f>
        <v>1516.17</v>
      </c>
      <c r="D132" s="140">
        <f>$C$131*(D39)-($C$131*(D39)*C137/3)</f>
        <v>75.81</v>
      </c>
    </row>
    <row r="133" spans="1:4" outlineLevel="3" x14ac:dyDescent="0.35">
      <c r="A133" s="138" t="s">
        <v>217</v>
      </c>
      <c r="B133" s="90" t="s">
        <v>218</v>
      </c>
      <c r="C133" s="139">
        <f>(D50)</f>
        <v>126.3</v>
      </c>
      <c r="D133" s="140">
        <f>$C$131*C133-($C$131*C133*C137/3)</f>
        <v>6.32</v>
      </c>
    </row>
    <row r="134" spans="1:4" outlineLevel="3" x14ac:dyDescent="0.35">
      <c r="A134" s="138" t="s">
        <v>219</v>
      </c>
      <c r="B134" s="90" t="s">
        <v>220</v>
      </c>
      <c r="C134" s="141">
        <f>(D39/12)+(D51*IF(C12&gt;60,((C12-60)*(1/60))+1,IF(C12&gt;48,((C12-48)*(1/48))+1,IF(C12&gt;36,((C12-36)*(1/36))+1,IF(C12&gt;24,((C12-24)*(1/24))+1,IF(C12&gt;12,((C12-12)*(1/12))+1,1))))))</f>
        <v>168.55</v>
      </c>
      <c r="D134" s="140">
        <f>$C$131*C134-($C$131*C134*C137/3)</f>
        <v>8.43</v>
      </c>
    </row>
    <row r="135" spans="1:4" outlineLevel="3" x14ac:dyDescent="0.35">
      <c r="A135" s="138" t="s">
        <v>221</v>
      </c>
      <c r="B135" s="90" t="s">
        <v>222</v>
      </c>
      <c r="C135" s="91">
        <f>C63</f>
        <v>0.36799999999999999</v>
      </c>
      <c r="D135" s="140">
        <f>SUM(D132:D134)*C131</f>
        <v>4.53</v>
      </c>
    </row>
    <row r="136" spans="1:4" outlineLevel="3" x14ac:dyDescent="0.35">
      <c r="A136" s="138" t="s">
        <v>223</v>
      </c>
      <c r="B136" s="90" t="s">
        <v>224</v>
      </c>
      <c r="C136" s="141">
        <f>D124</f>
        <v>58.03</v>
      </c>
      <c r="D136" s="140">
        <f>C136*C131</f>
        <v>2.9</v>
      </c>
    </row>
    <row r="137" spans="1:4" outlineLevel="2" x14ac:dyDescent="0.35">
      <c r="A137" s="111" t="s">
        <v>16</v>
      </c>
      <c r="B137" s="31" t="s">
        <v>225</v>
      </c>
      <c r="C137" s="92">
        <v>0</v>
      </c>
      <c r="D137" s="124">
        <f>$C$131*(D39)*(C137/3)</f>
        <v>0</v>
      </c>
    </row>
    <row r="138" spans="1:4" outlineLevel="1" x14ac:dyDescent="0.35">
      <c r="A138" s="644" t="s">
        <v>226</v>
      </c>
      <c r="B138" s="645"/>
      <c r="C138" s="30">
        <f>C131+(D137/D39)</f>
        <v>0.05</v>
      </c>
      <c r="D138" s="116">
        <f>SUM(D131:D137)</f>
        <v>195.98</v>
      </c>
    </row>
    <row r="139" spans="1:4" outlineLevel="1" x14ac:dyDescent="0.35">
      <c r="A139" s="658"/>
      <c r="B139" s="659"/>
      <c r="C139" s="659"/>
      <c r="D139" s="660"/>
    </row>
    <row r="140" spans="1:4" outlineLevel="2" x14ac:dyDescent="0.35">
      <c r="A140" s="668" t="s">
        <v>227</v>
      </c>
      <c r="B140" s="142" t="s">
        <v>190</v>
      </c>
      <c r="C140" s="93">
        <v>220</v>
      </c>
      <c r="D140" s="143">
        <f>D39</f>
        <v>1516.17</v>
      </c>
    </row>
    <row r="141" spans="1:4" outlineLevel="2" x14ac:dyDescent="0.35">
      <c r="A141" s="669"/>
      <c r="B141" s="142" t="s">
        <v>228</v>
      </c>
      <c r="C141" s="50">
        <f>(1+(1/3)+1)/12</f>
        <v>0.19439999999999999</v>
      </c>
      <c r="D141" s="144">
        <f>D140*C141</f>
        <v>294.74</v>
      </c>
    </row>
    <row r="142" spans="1:4" outlineLevel="2" x14ac:dyDescent="0.35">
      <c r="A142" s="669"/>
      <c r="B142" s="142" t="s">
        <v>229</v>
      </c>
      <c r="C142" s="50">
        <f>C63</f>
        <v>0.36799999999999999</v>
      </c>
      <c r="D142" s="144">
        <f>(D140+D141)*C142</f>
        <v>666.41</v>
      </c>
    </row>
    <row r="143" spans="1:4" outlineLevel="2" x14ac:dyDescent="0.35">
      <c r="A143" s="669"/>
      <c r="B143" s="142" t="s">
        <v>230</v>
      </c>
      <c r="C143" s="50">
        <f>D143/D140</f>
        <v>0.32519999999999999</v>
      </c>
      <c r="D143" s="144">
        <f>D77</f>
        <v>493.04</v>
      </c>
    </row>
    <row r="144" spans="1:4" outlineLevel="2" x14ac:dyDescent="0.35">
      <c r="A144" s="670"/>
      <c r="B144" s="145" t="s">
        <v>231</v>
      </c>
      <c r="C144" s="50">
        <f>D144/D140</f>
        <v>3.8300000000000001E-2</v>
      </c>
      <c r="D144" s="144">
        <f>D124</f>
        <v>58.03</v>
      </c>
    </row>
    <row r="145" spans="1:4" outlineLevel="2" x14ac:dyDescent="0.35">
      <c r="A145" s="671" t="s">
        <v>232</v>
      </c>
      <c r="B145" s="672"/>
      <c r="C145" s="94">
        <f>D145/D140</f>
        <v>1.9974000000000001</v>
      </c>
      <c r="D145" s="146">
        <f>SUM(D140:D144)</f>
        <v>3028.39</v>
      </c>
    </row>
    <row r="146" spans="1:4" outlineLevel="2" x14ac:dyDescent="0.35">
      <c r="A146" s="673"/>
      <c r="B146" s="673"/>
      <c r="C146" s="673"/>
      <c r="D146" s="674"/>
    </row>
    <row r="147" spans="1:4" outlineLevel="1" x14ac:dyDescent="0.35">
      <c r="A147" s="110" t="s">
        <v>233</v>
      </c>
      <c r="B147" s="117" t="s">
        <v>234</v>
      </c>
      <c r="C147" s="30" t="s">
        <v>44</v>
      </c>
      <c r="D147" s="110" t="s">
        <v>35</v>
      </c>
    </row>
    <row r="148" spans="1:4" outlineLevel="2" x14ac:dyDescent="0.35">
      <c r="A148" s="111" t="s">
        <v>16</v>
      </c>
      <c r="B148" s="31" t="s">
        <v>118</v>
      </c>
      <c r="C148" s="77">
        <f>5/252</f>
        <v>1.9800000000000002E-2</v>
      </c>
      <c r="D148" s="133">
        <f>C148*$D$145</f>
        <v>59.96</v>
      </c>
    </row>
    <row r="149" spans="1:4" outlineLevel="2" x14ac:dyDescent="0.35">
      <c r="A149" s="111" t="s">
        <v>17</v>
      </c>
      <c r="B149" s="31" t="s">
        <v>119</v>
      </c>
      <c r="C149" s="77">
        <f>1.383/252</f>
        <v>5.4999999999999997E-3</v>
      </c>
      <c r="D149" s="133">
        <f>C149*$D$145</f>
        <v>16.66</v>
      </c>
    </row>
    <row r="150" spans="1:4" outlineLevel="2" x14ac:dyDescent="0.35">
      <c r="A150" s="111" t="s">
        <v>19</v>
      </c>
      <c r="B150" s="31" t="s">
        <v>117</v>
      </c>
      <c r="C150" s="77">
        <f>1.3892/252</f>
        <v>5.4999999999999997E-3</v>
      </c>
      <c r="D150" s="133">
        <f t="shared" ref="D150:D153" si="1">C150*$D$145</f>
        <v>16.66</v>
      </c>
    </row>
    <row r="151" spans="1:4" outlineLevel="2" x14ac:dyDescent="0.35">
      <c r="A151" s="111" t="s">
        <v>22</v>
      </c>
      <c r="B151" s="31" t="s">
        <v>67</v>
      </c>
      <c r="C151" s="77">
        <f>0.65/252</f>
        <v>2.5999999999999999E-3</v>
      </c>
      <c r="D151" s="133">
        <f t="shared" si="1"/>
        <v>7.87</v>
      </c>
    </row>
    <row r="152" spans="1:4" outlineLevel="2" x14ac:dyDescent="0.35">
      <c r="A152" s="111" t="s">
        <v>24</v>
      </c>
      <c r="B152" s="31" t="s">
        <v>68</v>
      </c>
      <c r="C152" s="77">
        <f>0.5052/252</f>
        <v>2E-3</v>
      </c>
      <c r="D152" s="133">
        <f t="shared" si="1"/>
        <v>6.06</v>
      </c>
    </row>
    <row r="153" spans="1:4" outlineLevel="2" x14ac:dyDescent="0.35">
      <c r="A153" s="111" t="s">
        <v>36</v>
      </c>
      <c r="B153" s="61" t="s">
        <v>235</v>
      </c>
      <c r="C153" s="69">
        <f>0.2/252</f>
        <v>8.0000000000000004E-4</v>
      </c>
      <c r="D153" s="133">
        <f t="shared" si="1"/>
        <v>2.42</v>
      </c>
    </row>
    <row r="154" spans="1:4" outlineLevel="1" x14ac:dyDescent="0.35">
      <c r="A154" s="644" t="s">
        <v>226</v>
      </c>
      <c r="B154" s="645"/>
      <c r="C154" s="30">
        <f>SUM(C148:C153)</f>
        <v>3.6200000000000003E-2</v>
      </c>
      <c r="D154" s="116">
        <f>SUM(D148:D153)</f>
        <v>109.63</v>
      </c>
    </row>
    <row r="155" spans="1:4" outlineLevel="1" x14ac:dyDescent="0.35">
      <c r="A155" s="658"/>
      <c r="B155" s="659"/>
      <c r="C155" s="659"/>
      <c r="D155" s="660"/>
    </row>
    <row r="156" spans="1:4" outlineLevel="1" x14ac:dyDescent="0.35">
      <c r="A156" s="661" t="s">
        <v>236</v>
      </c>
      <c r="B156" s="666"/>
      <c r="C156" s="30" t="s">
        <v>237</v>
      </c>
      <c r="D156" s="110" t="s">
        <v>35</v>
      </c>
    </row>
    <row r="157" spans="1:4" outlineLevel="2" x14ac:dyDescent="0.4">
      <c r="A157" s="667" t="s">
        <v>238</v>
      </c>
      <c r="B157" s="142" t="s">
        <v>239</v>
      </c>
      <c r="C157" s="95">
        <f>C153</f>
        <v>8.0000000000000004E-4</v>
      </c>
      <c r="D157" s="147">
        <f>C157*-D140</f>
        <v>-1.21</v>
      </c>
    </row>
    <row r="158" spans="1:4" outlineLevel="2" x14ac:dyDescent="0.4">
      <c r="A158" s="667"/>
      <c r="B158" s="148" t="s">
        <v>240</v>
      </c>
      <c r="C158" s="96">
        <v>0</v>
      </c>
      <c r="D158" s="149">
        <f>C158*-(D140/220/24*5)</f>
        <v>0</v>
      </c>
    </row>
    <row r="159" spans="1:4" outlineLevel="2" x14ac:dyDescent="0.4">
      <c r="A159" s="667"/>
      <c r="B159" s="148" t="s">
        <v>241</v>
      </c>
      <c r="C159" s="96">
        <v>0</v>
      </c>
      <c r="D159" s="149">
        <f>C159*-D141</f>
        <v>0</v>
      </c>
    </row>
    <row r="160" spans="1:4" outlineLevel="2" x14ac:dyDescent="0.4">
      <c r="A160" s="667"/>
      <c r="B160" s="142" t="s">
        <v>242</v>
      </c>
      <c r="C160" s="95">
        <f>C154</f>
        <v>3.6200000000000003E-2</v>
      </c>
      <c r="D160" s="147">
        <f>C160*-D66</f>
        <v>-2.7</v>
      </c>
    </row>
    <row r="161" spans="1:4" outlineLevel="2" x14ac:dyDescent="0.4">
      <c r="A161" s="667"/>
      <c r="B161" s="142" t="s">
        <v>243</v>
      </c>
      <c r="C161" s="95">
        <f>C154</f>
        <v>3.6200000000000003E-2</v>
      </c>
      <c r="D161" s="147">
        <f>C161*-D69</f>
        <v>-10.5</v>
      </c>
    </row>
    <row r="162" spans="1:4" outlineLevel="2" x14ac:dyDescent="0.4">
      <c r="A162" s="667"/>
      <c r="B162" s="145" t="s">
        <v>244</v>
      </c>
      <c r="C162" s="95">
        <f>C153</f>
        <v>8.0000000000000004E-4</v>
      </c>
      <c r="D162" s="147">
        <f>C162*-D74</f>
        <v>-0.02</v>
      </c>
    </row>
    <row r="163" spans="1:4" outlineLevel="2" x14ac:dyDescent="0.35">
      <c r="A163" s="667"/>
      <c r="B163" s="145" t="s">
        <v>245</v>
      </c>
      <c r="C163" s="97">
        <f>C152</f>
        <v>2E-3</v>
      </c>
      <c r="D163" s="133">
        <f>C163*-SUM(D55:D61)</f>
        <v>-0.96</v>
      </c>
    </row>
    <row r="164" spans="1:4" outlineLevel="2" x14ac:dyDescent="0.4">
      <c r="A164" s="667"/>
      <c r="B164" s="142" t="s">
        <v>246</v>
      </c>
      <c r="C164" s="95">
        <f>C153</f>
        <v>8.0000000000000004E-4</v>
      </c>
      <c r="D164" s="147">
        <f>C164*-D142</f>
        <v>-0.53</v>
      </c>
    </row>
    <row r="165" spans="1:4" outlineLevel="1" x14ac:dyDescent="0.35">
      <c r="A165" s="644" t="s">
        <v>247</v>
      </c>
      <c r="B165" s="645"/>
      <c r="C165" s="30">
        <f>D165/D140</f>
        <v>-1.0500000000000001E-2</v>
      </c>
      <c r="D165" s="116">
        <f>SUM(D157:D164)</f>
        <v>-15.92</v>
      </c>
    </row>
    <row r="166" spans="1:4" outlineLevel="1" x14ac:dyDescent="0.35">
      <c r="A166" s="658"/>
      <c r="B166" s="659"/>
      <c r="C166" s="659"/>
      <c r="D166" s="660"/>
    </row>
    <row r="167" spans="1:4" outlineLevel="1" x14ac:dyDescent="0.35">
      <c r="A167" s="644" t="s">
        <v>248</v>
      </c>
      <c r="B167" s="645"/>
      <c r="C167" s="30">
        <f>D167/D140</f>
        <v>6.1800000000000001E-2</v>
      </c>
      <c r="D167" s="116">
        <f>D154+D165</f>
        <v>93.71</v>
      </c>
    </row>
    <row r="168" spans="1:4" outlineLevel="1" x14ac:dyDescent="0.35">
      <c r="A168" s="658"/>
      <c r="B168" s="659"/>
      <c r="C168" s="659"/>
      <c r="D168" s="660"/>
    </row>
    <row r="169" spans="1:4" outlineLevel="1" x14ac:dyDescent="0.35">
      <c r="A169" s="661" t="s">
        <v>249</v>
      </c>
      <c r="B169" s="662"/>
      <c r="C169" s="110" t="s">
        <v>44</v>
      </c>
      <c r="D169" s="110" t="s">
        <v>35</v>
      </c>
    </row>
    <row r="170" spans="1:4" outlineLevel="1" x14ac:dyDescent="0.35">
      <c r="A170" s="111" t="s">
        <v>65</v>
      </c>
      <c r="B170" s="31" t="s">
        <v>214</v>
      </c>
      <c r="C170" s="34"/>
      <c r="D170" s="150">
        <f>D138</f>
        <v>195.98</v>
      </c>
    </row>
    <row r="171" spans="1:4" outlineLevel="1" x14ac:dyDescent="0.35">
      <c r="A171" s="111" t="s">
        <v>233</v>
      </c>
      <c r="B171" s="31" t="s">
        <v>234</v>
      </c>
      <c r="C171" s="34"/>
      <c r="D171" s="150">
        <f>D167</f>
        <v>93.71</v>
      </c>
    </row>
    <row r="172" spans="1:4" x14ac:dyDescent="0.35">
      <c r="A172" s="644" t="s">
        <v>11</v>
      </c>
      <c r="B172" s="657"/>
      <c r="C172" s="645"/>
      <c r="D172" s="119">
        <f>SUM(D170:D171)</f>
        <v>289.69</v>
      </c>
    </row>
    <row r="173" spans="1:4" x14ac:dyDescent="0.35">
      <c r="A173" s="658"/>
      <c r="B173" s="659"/>
      <c r="C173" s="659"/>
      <c r="D173" s="660"/>
    </row>
    <row r="174" spans="1:4" x14ac:dyDescent="0.35">
      <c r="A174" s="663" t="s">
        <v>69</v>
      </c>
      <c r="B174" s="664"/>
      <c r="C174" s="664"/>
      <c r="D174" s="665"/>
    </row>
    <row r="175" spans="1:4" outlineLevel="1" x14ac:dyDescent="0.35">
      <c r="A175" s="658"/>
      <c r="B175" s="659"/>
      <c r="C175" s="659"/>
      <c r="D175" s="660"/>
    </row>
    <row r="176" spans="1:4" outlineLevel="1" x14ac:dyDescent="0.35">
      <c r="A176" s="64">
        <v>5</v>
      </c>
      <c r="B176" s="644" t="s">
        <v>250</v>
      </c>
      <c r="C176" s="645"/>
      <c r="D176" s="110" t="s">
        <v>35</v>
      </c>
    </row>
    <row r="177" spans="1:4" outlineLevel="1" x14ac:dyDescent="0.35">
      <c r="A177" s="111" t="s">
        <v>36</v>
      </c>
      <c r="B177" s="655" t="s">
        <v>343</v>
      </c>
      <c r="C177" s="656"/>
      <c r="D177" s="133">
        <f>INSUMOS!H12</f>
        <v>25.07</v>
      </c>
    </row>
    <row r="178" spans="1:4" outlineLevel="1" x14ac:dyDescent="0.35">
      <c r="A178" s="111" t="s">
        <v>16</v>
      </c>
      <c r="B178" s="655" t="s">
        <v>369</v>
      </c>
      <c r="C178" s="656"/>
      <c r="D178" s="151">
        <f>INSUMOS!H30</f>
        <v>41.35</v>
      </c>
    </row>
    <row r="179" spans="1:4" outlineLevel="1" x14ac:dyDescent="0.35">
      <c r="A179" s="111" t="s">
        <v>17</v>
      </c>
      <c r="B179" s="640" t="s">
        <v>326</v>
      </c>
      <c r="C179" s="642"/>
      <c r="D179" s="151">
        <f>MATERIAIS!G125</f>
        <v>785.04</v>
      </c>
    </row>
    <row r="180" spans="1:4" outlineLevel="1" x14ac:dyDescent="0.35">
      <c r="A180" s="111" t="s">
        <v>19</v>
      </c>
      <c r="B180" s="640" t="s">
        <v>325</v>
      </c>
      <c r="C180" s="642"/>
      <c r="D180" s="151">
        <f>EQUIPAMENTOS!H134</f>
        <v>26.95</v>
      </c>
    </row>
    <row r="181" spans="1:4" outlineLevel="1" x14ac:dyDescent="0.35">
      <c r="A181" s="111" t="s">
        <v>22</v>
      </c>
      <c r="B181" s="705" t="s">
        <v>39</v>
      </c>
      <c r="C181" s="706"/>
      <c r="D181" s="130">
        <v>0</v>
      </c>
    </row>
    <row r="182" spans="1:4" outlineLevel="1" x14ac:dyDescent="0.35">
      <c r="A182" s="111" t="s">
        <v>24</v>
      </c>
      <c r="B182" s="705" t="s">
        <v>39</v>
      </c>
      <c r="C182" s="706"/>
      <c r="D182" s="130">
        <v>0</v>
      </c>
    </row>
    <row r="183" spans="1:4" x14ac:dyDescent="0.35">
      <c r="A183" s="644" t="s">
        <v>11</v>
      </c>
      <c r="B183" s="657"/>
      <c r="C183" s="645"/>
      <c r="D183" s="116">
        <f>SUM(D177:D181)</f>
        <v>878.41</v>
      </c>
    </row>
    <row r="184" spans="1:4" x14ac:dyDescent="0.35">
      <c r="A184" s="646"/>
      <c r="B184" s="647"/>
      <c r="C184" s="647"/>
      <c r="D184" s="648"/>
    </row>
    <row r="185" spans="1:4" x14ac:dyDescent="0.35">
      <c r="A185" s="649" t="s">
        <v>70</v>
      </c>
      <c r="B185" s="649"/>
      <c r="C185" s="649"/>
      <c r="D185" s="152">
        <f>D39+D83+D126+D172+D183</f>
        <v>4068.03</v>
      </c>
    </row>
    <row r="186" spans="1:4" x14ac:dyDescent="0.35">
      <c r="A186" s="650"/>
      <c r="B186" s="650"/>
      <c r="C186" s="650"/>
      <c r="D186" s="650"/>
    </row>
    <row r="187" spans="1:4" x14ac:dyDescent="0.35">
      <c r="A187" s="651" t="s">
        <v>71</v>
      </c>
      <c r="B187" s="651"/>
      <c r="C187" s="651"/>
      <c r="D187" s="651"/>
    </row>
    <row r="188" spans="1:4" outlineLevel="1" x14ac:dyDescent="0.35">
      <c r="A188" s="652"/>
      <c r="B188" s="653"/>
      <c r="C188" s="653"/>
      <c r="D188" s="654"/>
    </row>
    <row r="189" spans="1:4" outlineLevel="1" x14ac:dyDescent="0.35">
      <c r="A189" s="64">
        <v>6</v>
      </c>
      <c r="B189" s="117" t="s">
        <v>72</v>
      </c>
      <c r="C189" s="110" t="s">
        <v>44</v>
      </c>
      <c r="D189" s="110" t="s">
        <v>35</v>
      </c>
    </row>
    <row r="190" spans="1:4" outlineLevel="1" x14ac:dyDescent="0.35">
      <c r="A190" s="111" t="s">
        <v>36</v>
      </c>
      <c r="B190" s="31" t="s">
        <v>73</v>
      </c>
      <c r="C190" s="70">
        <f>'SR - ASG int'!C189</f>
        <v>2.6499999999999999E-2</v>
      </c>
      <c r="D190" s="105">
        <f>C190*D185</f>
        <v>107.8</v>
      </c>
    </row>
    <row r="191" spans="1:4" outlineLevel="1" x14ac:dyDescent="0.35">
      <c r="A191" s="638" t="s">
        <v>1</v>
      </c>
      <c r="B191" s="639"/>
      <c r="C191" s="643"/>
      <c r="D191" s="105">
        <f>D185+D190</f>
        <v>4175.83</v>
      </c>
    </row>
    <row r="192" spans="1:4" outlineLevel="1" x14ac:dyDescent="0.35">
      <c r="A192" s="111" t="s">
        <v>16</v>
      </c>
      <c r="B192" s="31" t="s">
        <v>74</v>
      </c>
      <c r="C192" s="70">
        <f>'SR - ASG int'!C191</f>
        <v>0.1087</v>
      </c>
      <c r="D192" s="105">
        <f>C192*D191</f>
        <v>453.91</v>
      </c>
    </row>
    <row r="193" spans="1:4" outlineLevel="1" x14ac:dyDescent="0.35">
      <c r="A193" s="638" t="s">
        <v>1</v>
      </c>
      <c r="B193" s="639"/>
      <c r="C193" s="639"/>
      <c r="D193" s="105">
        <f>D192+D191</f>
        <v>4629.74</v>
      </c>
    </row>
    <row r="194" spans="1:4" outlineLevel="1" x14ac:dyDescent="0.35">
      <c r="A194" s="111" t="s">
        <v>17</v>
      </c>
      <c r="B194" s="640" t="s">
        <v>75</v>
      </c>
      <c r="C194" s="641"/>
      <c r="D194" s="642"/>
    </row>
    <row r="195" spans="1:4" outlineLevel="1" x14ac:dyDescent="0.35">
      <c r="A195" s="153"/>
      <c r="B195" s="63" t="s">
        <v>76</v>
      </c>
      <c r="C195" s="70">
        <v>6.4999999999999997E-3</v>
      </c>
      <c r="D195" s="105">
        <f>(D193/(1-C198)*C195)</f>
        <v>32.590000000000003</v>
      </c>
    </row>
    <row r="196" spans="1:4" outlineLevel="1" x14ac:dyDescent="0.35">
      <c r="A196" s="153"/>
      <c r="B196" s="63" t="s">
        <v>77</v>
      </c>
      <c r="C196" s="70">
        <v>0.03</v>
      </c>
      <c r="D196" s="105">
        <f>(D193/(1-C198)*C196)</f>
        <v>150.4</v>
      </c>
    </row>
    <row r="197" spans="1:4" outlineLevel="1" x14ac:dyDescent="0.35">
      <c r="A197" s="153"/>
      <c r="B197" s="63" t="s">
        <v>294</v>
      </c>
      <c r="C197" s="51">
        <v>0.04</v>
      </c>
      <c r="D197" s="105">
        <f>(D193/(1-C198)*C197)</f>
        <v>200.53</v>
      </c>
    </row>
    <row r="198" spans="1:4" outlineLevel="1" x14ac:dyDescent="0.35">
      <c r="A198" s="638" t="s">
        <v>78</v>
      </c>
      <c r="B198" s="643"/>
      <c r="C198" s="52">
        <f>SUM(C195:C197)</f>
        <v>7.6499999999999999E-2</v>
      </c>
      <c r="D198" s="105">
        <f>SUM(D195:D197)</f>
        <v>383.52</v>
      </c>
    </row>
    <row r="199" spans="1:4" x14ac:dyDescent="0.35">
      <c r="A199" s="644" t="s">
        <v>11</v>
      </c>
      <c r="B199" s="645"/>
      <c r="C199" s="53">
        <f>(1+C190)*(1+C192)*(1/(1-C198))-1</f>
        <v>0.2324</v>
      </c>
      <c r="D199" s="108">
        <f>SUM(D198+D190+D192)</f>
        <v>945.23</v>
      </c>
    </row>
    <row r="200" spans="1:4" x14ac:dyDescent="0.35">
      <c r="A200" s="646"/>
      <c r="B200" s="647"/>
      <c r="C200" s="647"/>
      <c r="D200" s="648"/>
    </row>
    <row r="201" spans="1:4" x14ac:dyDescent="0.35">
      <c r="A201" s="634" t="s">
        <v>79</v>
      </c>
      <c r="B201" s="635"/>
      <c r="C201" s="636"/>
      <c r="D201" s="54" t="s">
        <v>35</v>
      </c>
    </row>
    <row r="202" spans="1:4" x14ac:dyDescent="0.35">
      <c r="A202" s="632" t="s">
        <v>80</v>
      </c>
      <c r="B202" s="637"/>
      <c r="C202" s="637"/>
      <c r="D202" s="633"/>
    </row>
    <row r="203" spans="1:4" x14ac:dyDescent="0.35">
      <c r="A203" s="65" t="s">
        <v>36</v>
      </c>
      <c r="B203" s="632" t="s">
        <v>81</v>
      </c>
      <c r="C203" s="633"/>
      <c r="D203" s="104">
        <f>D39</f>
        <v>1516.17</v>
      </c>
    </row>
    <row r="204" spans="1:4" x14ac:dyDescent="0.35">
      <c r="A204" s="65" t="s">
        <v>16</v>
      </c>
      <c r="B204" s="632" t="s">
        <v>82</v>
      </c>
      <c r="C204" s="633"/>
      <c r="D204" s="104">
        <f>D83</f>
        <v>1258.4100000000001</v>
      </c>
    </row>
    <row r="205" spans="1:4" x14ac:dyDescent="0.35">
      <c r="A205" s="65" t="s">
        <v>17</v>
      </c>
      <c r="B205" s="632" t="s">
        <v>83</v>
      </c>
      <c r="C205" s="633"/>
      <c r="D205" s="104">
        <f>D126</f>
        <v>125.35</v>
      </c>
    </row>
    <row r="206" spans="1:4" x14ac:dyDescent="0.35">
      <c r="A206" s="65" t="s">
        <v>19</v>
      </c>
      <c r="B206" s="632" t="s">
        <v>84</v>
      </c>
      <c r="C206" s="633"/>
      <c r="D206" s="104">
        <f>D172</f>
        <v>289.69</v>
      </c>
    </row>
    <row r="207" spans="1:4" x14ac:dyDescent="0.35">
      <c r="A207" s="65" t="s">
        <v>22</v>
      </c>
      <c r="B207" s="632" t="s">
        <v>85</v>
      </c>
      <c r="C207" s="633"/>
      <c r="D207" s="104">
        <f>D183</f>
        <v>878.41</v>
      </c>
    </row>
    <row r="208" spans="1:4" x14ac:dyDescent="0.4">
      <c r="A208" s="629" t="s">
        <v>86</v>
      </c>
      <c r="B208" s="630"/>
      <c r="C208" s="631"/>
      <c r="D208" s="104">
        <f>SUM(D203:D207)</f>
        <v>4068.03</v>
      </c>
    </row>
    <row r="209" spans="1:4" x14ac:dyDescent="0.35">
      <c r="A209" s="65" t="s">
        <v>87</v>
      </c>
      <c r="B209" s="632" t="s">
        <v>88</v>
      </c>
      <c r="C209" s="633"/>
      <c r="D209" s="104">
        <f>D199</f>
        <v>945.23</v>
      </c>
    </row>
    <row r="210" spans="1:4" x14ac:dyDescent="0.35">
      <c r="A210" s="634" t="s">
        <v>89</v>
      </c>
      <c r="B210" s="635"/>
      <c r="C210" s="636"/>
      <c r="D210" s="154">
        <f xml:space="preserve"> D208+D209</f>
        <v>5013.26</v>
      </c>
    </row>
    <row r="211" spans="1:4" x14ac:dyDescent="0.4">
      <c r="A211" s="24"/>
      <c r="B211" s="24"/>
      <c r="C211" s="24"/>
      <c r="D211" s="24"/>
    </row>
    <row r="212" spans="1:4" ht="15.5" thickBot="1" x14ac:dyDescent="0.45">
      <c r="A212" s="24"/>
      <c r="B212" s="24"/>
      <c r="C212" s="24"/>
      <c r="D212" s="24"/>
    </row>
    <row r="213" spans="1:4" x14ac:dyDescent="0.35">
      <c r="A213" s="702" t="s">
        <v>274</v>
      </c>
      <c r="B213" s="703"/>
      <c r="C213" s="703"/>
      <c r="D213" s="704"/>
    </row>
    <row r="214" spans="1:4" ht="30" x14ac:dyDescent="0.35">
      <c r="A214" s="170" t="s">
        <v>275</v>
      </c>
      <c r="B214" s="171" t="s">
        <v>278</v>
      </c>
      <c r="C214" s="172" t="s">
        <v>276</v>
      </c>
      <c r="D214" s="173" t="s">
        <v>277</v>
      </c>
    </row>
    <row r="215" spans="1:4" ht="15.5" thickBot="1" x14ac:dyDescent="0.4">
      <c r="A215" s="174">
        <v>1</v>
      </c>
      <c r="B215" s="178">
        <f>1/(C11/A215)</f>
        <v>1.3543162056999999E-3</v>
      </c>
      <c r="C215" s="175">
        <f>D210</f>
        <v>5013.26</v>
      </c>
      <c r="D215" s="181">
        <f>C215*B215</f>
        <v>6.7895392609999998</v>
      </c>
    </row>
  </sheetData>
  <mergeCells count="108">
    <mergeCell ref="A5:D5"/>
    <mergeCell ref="C6:D6"/>
    <mergeCell ref="C7:D7"/>
    <mergeCell ref="C8:D8"/>
    <mergeCell ref="C9:D9"/>
    <mergeCell ref="C10:D10"/>
    <mergeCell ref="A1:D1"/>
    <mergeCell ref="A2:B2"/>
    <mergeCell ref="C2:D2"/>
    <mergeCell ref="A3:B3"/>
    <mergeCell ref="C3:D3"/>
    <mergeCell ref="A4:D4"/>
    <mergeCell ref="C17:D17"/>
    <mergeCell ref="A18:D18"/>
    <mergeCell ref="B19:C19"/>
    <mergeCell ref="B20:C20"/>
    <mergeCell ref="B21:C21"/>
    <mergeCell ref="B22:C22"/>
    <mergeCell ref="C11:D11"/>
    <mergeCell ref="C12:D12"/>
    <mergeCell ref="A13:D13"/>
    <mergeCell ref="A14:D14"/>
    <mergeCell ref="A15:D15"/>
    <mergeCell ref="C16:D16"/>
    <mergeCell ref="A45:B45"/>
    <mergeCell ref="A46:D46"/>
    <mergeCell ref="A47:D47"/>
    <mergeCell ref="A48:D48"/>
    <mergeCell ref="A52:B52"/>
    <mergeCell ref="A53:D53"/>
    <mergeCell ref="A23:D23"/>
    <mergeCell ref="A24:D24"/>
    <mergeCell ref="A25:D25"/>
    <mergeCell ref="B26:C26"/>
    <mergeCell ref="A39:C39"/>
    <mergeCell ref="A40:D40"/>
    <mergeCell ref="A84:D84"/>
    <mergeCell ref="A85:D85"/>
    <mergeCell ref="A86:D86"/>
    <mergeCell ref="A99:B99"/>
    <mergeCell ref="A100:D100"/>
    <mergeCell ref="A111:B111"/>
    <mergeCell ref="A63:B63"/>
    <mergeCell ref="A64:D64"/>
    <mergeCell ref="A77:C77"/>
    <mergeCell ref="A78:D78"/>
    <mergeCell ref="A79:B79"/>
    <mergeCell ref="A83:C83"/>
    <mergeCell ref="A123:B123"/>
    <mergeCell ref="A124:B124"/>
    <mergeCell ref="A126:B126"/>
    <mergeCell ref="A127:D127"/>
    <mergeCell ref="A128:D128"/>
    <mergeCell ref="A129:D129"/>
    <mergeCell ref="A112:D112"/>
    <mergeCell ref="A116:B116"/>
    <mergeCell ref="A117:D117"/>
    <mergeCell ref="A118:B118"/>
    <mergeCell ref="A121:C121"/>
    <mergeCell ref="A122:B122"/>
    <mergeCell ref="A155:D155"/>
    <mergeCell ref="A156:B156"/>
    <mergeCell ref="A157:A164"/>
    <mergeCell ref="A165:B165"/>
    <mergeCell ref="A166:D166"/>
    <mergeCell ref="A167:B167"/>
    <mergeCell ref="A138:B138"/>
    <mergeCell ref="A139:D139"/>
    <mergeCell ref="A140:A144"/>
    <mergeCell ref="A145:B145"/>
    <mergeCell ref="A146:D146"/>
    <mergeCell ref="A154:B154"/>
    <mergeCell ref="B176:C176"/>
    <mergeCell ref="B177:C177"/>
    <mergeCell ref="B178:C178"/>
    <mergeCell ref="B179:C179"/>
    <mergeCell ref="B180:C180"/>
    <mergeCell ref="B181:C181"/>
    <mergeCell ref="A168:D168"/>
    <mergeCell ref="A169:B169"/>
    <mergeCell ref="A172:C172"/>
    <mergeCell ref="A173:D173"/>
    <mergeCell ref="A174:D174"/>
    <mergeCell ref="A175:D175"/>
    <mergeCell ref="A188:D188"/>
    <mergeCell ref="A191:C191"/>
    <mergeCell ref="A193:C193"/>
    <mergeCell ref="B194:D194"/>
    <mergeCell ref="A198:B198"/>
    <mergeCell ref="A199:B199"/>
    <mergeCell ref="B182:C182"/>
    <mergeCell ref="A183:C183"/>
    <mergeCell ref="A184:D184"/>
    <mergeCell ref="A185:C185"/>
    <mergeCell ref="A186:D186"/>
    <mergeCell ref="A187:D187"/>
    <mergeCell ref="B206:C206"/>
    <mergeCell ref="B207:C207"/>
    <mergeCell ref="A208:C208"/>
    <mergeCell ref="B209:C209"/>
    <mergeCell ref="A210:C210"/>
    <mergeCell ref="A213:D213"/>
    <mergeCell ref="A200:D200"/>
    <mergeCell ref="A201:C201"/>
    <mergeCell ref="A202:D202"/>
    <mergeCell ref="B203:C203"/>
    <mergeCell ref="B204:C204"/>
    <mergeCell ref="B205:C205"/>
  </mergeCells>
  <pageMargins left="0.51181102362204722" right="0.51181102362204722" top="0.78740157480314965" bottom="0.78740157480314965" header="0.31496062992125984" footer="0.31496062992125984"/>
  <pageSetup scale="21" orientation="portrait" horizontalDpi="3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FB4B36-E0EB-48F9-B809-4C0AC1526547}">
  <sheetPr codeName="Planilha13">
    <pageSetUpPr fitToPage="1"/>
  </sheetPr>
  <dimension ref="A1:D215"/>
  <sheetViews>
    <sheetView view="pageBreakPreview" topLeftCell="A179" zoomScale="85" zoomScaleNormal="85" zoomScaleSheetLayoutView="85" workbookViewId="0">
      <selection activeCell="D67" sqref="D67"/>
    </sheetView>
  </sheetViews>
  <sheetFormatPr defaultColWidth="9.1796875" defaultRowHeight="15" customHeight="1" outlineLevelRow="3" x14ac:dyDescent="0.35"/>
  <cols>
    <col min="1" max="1" width="16.7265625" customWidth="1"/>
    <col min="2" max="2" width="76.81640625" customWidth="1"/>
    <col min="3" max="3" width="22.81640625" customWidth="1"/>
    <col min="4" max="4" width="23.54296875" customWidth="1"/>
  </cols>
  <sheetData>
    <row r="1" spans="1:4" x14ac:dyDescent="0.35">
      <c r="A1" s="683" t="s">
        <v>6</v>
      </c>
      <c r="B1" s="683"/>
      <c r="C1" s="683"/>
      <c r="D1" s="683"/>
    </row>
    <row r="2" spans="1:4" x14ac:dyDescent="0.35">
      <c r="A2" s="684" t="s">
        <v>12</v>
      </c>
      <c r="B2" s="684"/>
      <c r="C2" s="685" t="s">
        <v>521</v>
      </c>
      <c r="D2" s="686"/>
    </row>
    <row r="3" spans="1:4" x14ac:dyDescent="0.35">
      <c r="A3" s="684" t="s">
        <v>13</v>
      </c>
      <c r="B3" s="684"/>
      <c r="C3" s="685" t="s">
        <v>270</v>
      </c>
      <c r="D3" s="686"/>
    </row>
    <row r="4" spans="1:4" x14ac:dyDescent="0.35">
      <c r="A4" s="687"/>
      <c r="B4" s="687"/>
      <c r="C4" s="687"/>
      <c r="D4" s="687"/>
    </row>
    <row r="5" spans="1:4" x14ac:dyDescent="0.35">
      <c r="A5" s="687" t="s">
        <v>14</v>
      </c>
      <c r="B5" s="687"/>
      <c r="C5" s="687"/>
      <c r="D5" s="687"/>
    </row>
    <row r="6" spans="1:4" x14ac:dyDescent="0.35">
      <c r="A6" s="65" t="s">
        <v>15</v>
      </c>
      <c r="B6" s="63" t="s">
        <v>5</v>
      </c>
      <c r="C6" s="707" t="s">
        <v>144</v>
      </c>
      <c r="D6" s="708"/>
    </row>
    <row r="7" spans="1:4" x14ac:dyDescent="0.35">
      <c r="A7" s="65" t="s">
        <v>16</v>
      </c>
      <c r="B7" s="63" t="s">
        <v>4</v>
      </c>
      <c r="C7" s="690" t="s">
        <v>502</v>
      </c>
      <c r="D7" s="690"/>
    </row>
    <row r="8" spans="1:4" x14ac:dyDescent="0.35">
      <c r="A8" s="25" t="s">
        <v>17</v>
      </c>
      <c r="B8" s="26" t="s">
        <v>18</v>
      </c>
      <c r="C8" s="722" t="s">
        <v>299</v>
      </c>
      <c r="D8" s="723"/>
    </row>
    <row r="9" spans="1:4" x14ac:dyDescent="0.35">
      <c r="A9" s="65" t="s">
        <v>19</v>
      </c>
      <c r="B9" s="63" t="s">
        <v>20</v>
      </c>
      <c r="C9" s="700" t="s">
        <v>21</v>
      </c>
      <c r="D9" s="701"/>
    </row>
    <row r="10" spans="1:4" x14ac:dyDescent="0.35">
      <c r="A10" s="65" t="s">
        <v>22</v>
      </c>
      <c r="B10" s="63" t="s">
        <v>23</v>
      </c>
      <c r="C10" s="700" t="s">
        <v>262</v>
      </c>
      <c r="D10" s="701"/>
    </row>
    <row r="11" spans="1:4" x14ac:dyDescent="0.35">
      <c r="A11" s="65" t="s">
        <v>24</v>
      </c>
      <c r="B11" s="63" t="s">
        <v>251</v>
      </c>
      <c r="C11" s="691">
        <f>Resumo!F11/2</f>
        <v>1211.56</v>
      </c>
      <c r="D11" s="692"/>
    </row>
    <row r="12" spans="1:4" x14ac:dyDescent="0.35">
      <c r="A12" s="65" t="s">
        <v>25</v>
      </c>
      <c r="B12" s="63" t="s">
        <v>26</v>
      </c>
      <c r="C12" s="693">
        <f>Resumo!I5</f>
        <v>20</v>
      </c>
      <c r="D12" s="694"/>
    </row>
    <row r="13" spans="1:4" x14ac:dyDescent="0.35">
      <c r="A13" s="695"/>
      <c r="B13" s="696"/>
      <c r="C13" s="696"/>
      <c r="D13" s="696"/>
    </row>
    <row r="14" spans="1:4" x14ac:dyDescent="0.35">
      <c r="A14" s="697" t="s">
        <v>27</v>
      </c>
      <c r="B14" s="698"/>
      <c r="C14" s="698"/>
      <c r="D14" s="699"/>
    </row>
    <row r="15" spans="1:4" x14ac:dyDescent="0.35">
      <c r="A15" s="690" t="s">
        <v>28</v>
      </c>
      <c r="B15" s="690"/>
      <c r="C15" s="690"/>
      <c r="D15" s="690"/>
    </row>
    <row r="16" spans="1:4" x14ac:dyDescent="0.35">
      <c r="A16" s="65">
        <v>1</v>
      </c>
      <c r="B16" s="63" t="s">
        <v>29</v>
      </c>
      <c r="C16" s="700" t="s">
        <v>266</v>
      </c>
      <c r="D16" s="701" t="s">
        <v>0</v>
      </c>
    </row>
    <row r="17" spans="1:4" x14ac:dyDescent="0.35">
      <c r="A17" s="65">
        <v>2</v>
      </c>
      <c r="B17" s="27" t="s">
        <v>30</v>
      </c>
      <c r="C17" s="688" t="s">
        <v>263</v>
      </c>
      <c r="D17" s="689"/>
    </row>
    <row r="18" spans="1:4" x14ac:dyDescent="0.35">
      <c r="A18" s="690" t="s">
        <v>31</v>
      </c>
      <c r="B18" s="690"/>
      <c r="C18" s="690"/>
      <c r="D18" s="690"/>
    </row>
    <row r="19" spans="1:4" x14ac:dyDescent="0.4">
      <c r="A19" s="65">
        <v>3</v>
      </c>
      <c r="B19" s="632" t="s">
        <v>3</v>
      </c>
      <c r="C19" s="633"/>
      <c r="D19" s="103">
        <v>1325</v>
      </c>
    </row>
    <row r="20" spans="1:4" x14ac:dyDescent="0.4">
      <c r="A20" s="65">
        <v>4</v>
      </c>
      <c r="B20" s="632" t="s">
        <v>252</v>
      </c>
      <c r="C20" s="633"/>
      <c r="D20" s="155">
        <v>220</v>
      </c>
    </row>
    <row r="21" spans="1:4" x14ac:dyDescent="0.35">
      <c r="A21" s="65">
        <v>5</v>
      </c>
      <c r="B21" s="632" t="s">
        <v>32</v>
      </c>
      <c r="C21" s="633"/>
      <c r="D21" s="73" t="s">
        <v>267</v>
      </c>
    </row>
    <row r="22" spans="1:4" x14ac:dyDescent="0.35">
      <c r="A22" s="65">
        <v>6</v>
      </c>
      <c r="B22" s="632" t="s">
        <v>2</v>
      </c>
      <c r="C22" s="633"/>
      <c r="D22" s="74">
        <v>44562</v>
      </c>
    </row>
    <row r="23" spans="1:4" x14ac:dyDescent="0.35">
      <c r="A23" s="700"/>
      <c r="B23" s="711"/>
      <c r="C23" s="711"/>
      <c r="D23" s="701"/>
    </row>
    <row r="24" spans="1:4" x14ac:dyDescent="0.35">
      <c r="A24" s="712" t="s">
        <v>33</v>
      </c>
      <c r="B24" s="712"/>
      <c r="C24" s="712"/>
      <c r="D24" s="712"/>
    </row>
    <row r="25" spans="1:4" x14ac:dyDescent="0.35">
      <c r="A25" s="713"/>
      <c r="B25" s="714"/>
      <c r="C25" s="714"/>
      <c r="D25" s="694"/>
    </row>
    <row r="26" spans="1:4" x14ac:dyDescent="0.35">
      <c r="A26" s="64">
        <v>1</v>
      </c>
      <c r="B26" s="634" t="s">
        <v>34</v>
      </c>
      <c r="C26" s="636"/>
      <c r="D26" s="64" t="s">
        <v>35</v>
      </c>
    </row>
    <row r="27" spans="1:4" outlineLevel="1" x14ac:dyDescent="0.35">
      <c r="A27" s="65" t="s">
        <v>36</v>
      </c>
      <c r="B27" s="63" t="s">
        <v>146</v>
      </c>
      <c r="C27" s="71">
        <f>'SR - ASG int'!C27</f>
        <v>220</v>
      </c>
      <c r="D27" s="104">
        <f>D19/220*C27</f>
        <v>1325</v>
      </c>
    </row>
    <row r="28" spans="1:4" outlineLevel="1" x14ac:dyDescent="0.35">
      <c r="A28" s="65" t="s">
        <v>16</v>
      </c>
      <c r="B28" s="63" t="s">
        <v>147</v>
      </c>
      <c r="C28" s="28">
        <v>0</v>
      </c>
      <c r="D28" s="104">
        <f>D27*10%</f>
        <v>132.5</v>
      </c>
    </row>
    <row r="29" spans="1:4" outlineLevel="1" x14ac:dyDescent="0.35">
      <c r="A29" s="65" t="s">
        <v>17</v>
      </c>
      <c r="B29" s="63" t="s">
        <v>38</v>
      </c>
      <c r="C29" s="28">
        <v>0.4</v>
      </c>
      <c r="D29" s="104">
        <v>0</v>
      </c>
    </row>
    <row r="30" spans="1:4" outlineLevel="1" x14ac:dyDescent="0.35">
      <c r="A30" s="65" t="s">
        <v>19</v>
      </c>
      <c r="B30" s="63" t="s">
        <v>148</v>
      </c>
      <c r="C30" s="156">
        <v>0</v>
      </c>
      <c r="D30" s="105">
        <f>SUM(D31:D32)</f>
        <v>0</v>
      </c>
    </row>
    <row r="31" spans="1:4" outlineLevel="2" x14ac:dyDescent="0.35">
      <c r="A31" s="78" t="s">
        <v>111</v>
      </c>
      <c r="B31" s="63" t="s">
        <v>149</v>
      </c>
      <c r="C31" s="79">
        <v>0.2</v>
      </c>
      <c r="D31" s="105">
        <f>(SUM(D27:D29)/C27)*C31*15*C30</f>
        <v>0</v>
      </c>
    </row>
    <row r="32" spans="1:4" outlineLevel="2" x14ac:dyDescent="0.35">
      <c r="A32" s="78" t="s">
        <v>112</v>
      </c>
      <c r="B32" s="63" t="s">
        <v>150</v>
      </c>
      <c r="C32" s="80">
        <f>C30*(60/52.5)/8</f>
        <v>0</v>
      </c>
      <c r="D32" s="105">
        <f>(SUM(D27:D29)/C27)*(C31)*15*C32</f>
        <v>0</v>
      </c>
    </row>
    <row r="33" spans="1:4" outlineLevel="1" x14ac:dyDescent="0.35">
      <c r="A33" s="65" t="s">
        <v>22</v>
      </c>
      <c r="B33" s="63" t="s">
        <v>151</v>
      </c>
      <c r="C33" s="28" t="s">
        <v>152</v>
      </c>
      <c r="D33" s="1">
        <f>SUM(D34:D37)</f>
        <v>0</v>
      </c>
    </row>
    <row r="34" spans="1:4" outlineLevel="2" x14ac:dyDescent="0.35">
      <c r="A34" s="81" t="s">
        <v>153</v>
      </c>
      <c r="B34" s="82" t="s">
        <v>154</v>
      </c>
      <c r="C34" s="83">
        <v>0</v>
      </c>
      <c r="D34" s="106">
        <f>(SUM($D$27:$D$29)/$C$27)*C34*1.5</f>
        <v>0</v>
      </c>
    </row>
    <row r="35" spans="1:4" outlineLevel="2" x14ac:dyDescent="0.35">
      <c r="A35" s="81" t="s">
        <v>155</v>
      </c>
      <c r="B35" s="84" t="s">
        <v>156</v>
      </c>
      <c r="C35" s="85">
        <v>0</v>
      </c>
      <c r="D35" s="106">
        <f>(SUM($D$27:$D$29)/$C$27)*C35*((60/52.5)*1.2*1.5)</f>
        <v>0</v>
      </c>
    </row>
    <row r="36" spans="1:4" outlineLevel="2" x14ac:dyDescent="0.35">
      <c r="A36" s="81" t="s">
        <v>157</v>
      </c>
      <c r="B36" s="82" t="s">
        <v>158</v>
      </c>
      <c r="C36" s="86">
        <f>C34*0.1429</f>
        <v>0</v>
      </c>
      <c r="D36" s="106">
        <f>(SUM($D$27:$D$29)/$C$27)*C36*2</f>
        <v>0</v>
      </c>
    </row>
    <row r="37" spans="1:4" outlineLevel="2" x14ac:dyDescent="0.35">
      <c r="A37" s="81" t="s">
        <v>159</v>
      </c>
      <c r="B37" s="82" t="s">
        <v>160</v>
      </c>
      <c r="C37" s="86">
        <f>C34*0.1429</f>
        <v>0</v>
      </c>
      <c r="D37" s="106">
        <f>(SUM($D$27:$D$29)/$C$27)*C37*((60/52.5)*1.2*2)</f>
        <v>0</v>
      </c>
    </row>
    <row r="38" spans="1:4" outlineLevel="1" x14ac:dyDescent="0.35">
      <c r="A38" s="65" t="s">
        <v>24</v>
      </c>
      <c r="B38" s="55" t="s">
        <v>39</v>
      </c>
      <c r="C38" s="56">
        <v>0</v>
      </c>
      <c r="D38" s="107">
        <v>0</v>
      </c>
    </row>
    <row r="39" spans="1:4" x14ac:dyDescent="0.35">
      <c r="A39" s="634" t="s">
        <v>40</v>
      </c>
      <c r="B39" s="635"/>
      <c r="C39" s="636"/>
      <c r="D39" s="108">
        <f>SUM(D27:D30,D33,D38)</f>
        <v>1457.5</v>
      </c>
    </row>
    <row r="40" spans="1:4" x14ac:dyDescent="0.35">
      <c r="A40" s="650"/>
      <c r="B40" s="650"/>
      <c r="C40" s="650"/>
      <c r="D40" s="650"/>
    </row>
    <row r="41" spans="1:4" outlineLevel="1" x14ac:dyDescent="0.35">
      <c r="A41" s="87" t="s">
        <v>161</v>
      </c>
      <c r="B41" s="109" t="s">
        <v>162</v>
      </c>
      <c r="C41" s="110" t="s">
        <v>163</v>
      </c>
      <c r="D41" s="110" t="s">
        <v>35</v>
      </c>
    </row>
    <row r="42" spans="1:4" outlineLevel="1" x14ac:dyDescent="0.35">
      <c r="A42" s="111" t="s">
        <v>36</v>
      </c>
      <c r="B42" s="27" t="s">
        <v>164</v>
      </c>
      <c r="C42" s="88">
        <v>0</v>
      </c>
      <c r="D42" s="112">
        <f>(SUM(D27)/$C$27)*C42*1.5</f>
        <v>0</v>
      </c>
    </row>
    <row r="43" spans="1:4" outlineLevel="1" x14ac:dyDescent="0.35">
      <c r="A43" s="113" t="s">
        <v>17</v>
      </c>
      <c r="B43" s="114" t="s">
        <v>165</v>
      </c>
      <c r="C43" s="115">
        <v>0</v>
      </c>
      <c r="D43" s="104">
        <f>C43*177</f>
        <v>0</v>
      </c>
    </row>
    <row r="44" spans="1:4" outlineLevel="1" x14ac:dyDescent="0.35">
      <c r="A44" s="65" t="s">
        <v>19</v>
      </c>
      <c r="B44" s="55" t="s">
        <v>39</v>
      </c>
      <c r="C44" s="56">
        <v>0</v>
      </c>
      <c r="D44" s="107">
        <v>0</v>
      </c>
    </row>
    <row r="45" spans="1:4" x14ac:dyDescent="0.35">
      <c r="A45" s="644" t="s">
        <v>166</v>
      </c>
      <c r="B45" s="645"/>
      <c r="C45" s="30">
        <f>D45/D39</f>
        <v>0</v>
      </c>
      <c r="D45" s="116">
        <f>SUM(D42:D43)</f>
        <v>0</v>
      </c>
    </row>
    <row r="46" spans="1:4" x14ac:dyDescent="0.35">
      <c r="A46" s="646"/>
      <c r="B46" s="647"/>
      <c r="C46" s="647"/>
      <c r="D46" s="648"/>
    </row>
    <row r="47" spans="1:4" x14ac:dyDescent="0.35">
      <c r="A47" s="663" t="s">
        <v>41</v>
      </c>
      <c r="B47" s="664"/>
      <c r="C47" s="664"/>
      <c r="D47" s="665"/>
    </row>
    <row r="48" spans="1:4" outlineLevel="1" x14ac:dyDescent="0.35">
      <c r="A48" s="646"/>
      <c r="B48" s="647"/>
      <c r="C48" s="647"/>
      <c r="D48" s="648"/>
    </row>
    <row r="49" spans="1:4" outlineLevel="1" x14ac:dyDescent="0.35">
      <c r="A49" s="110" t="s">
        <v>42</v>
      </c>
      <c r="B49" s="109" t="s">
        <v>43</v>
      </c>
      <c r="C49" s="110" t="s">
        <v>44</v>
      </c>
      <c r="D49" s="110" t="s">
        <v>35</v>
      </c>
    </row>
    <row r="50" spans="1:4" outlineLevel="2" x14ac:dyDescent="0.35">
      <c r="A50" s="113" t="s">
        <v>36</v>
      </c>
      <c r="B50" s="114" t="s">
        <v>45</v>
      </c>
      <c r="C50" s="29">
        <f>1/12</f>
        <v>8.3299999999999999E-2</v>
      </c>
      <c r="D50" s="104">
        <f>C50*D39</f>
        <v>121.41</v>
      </c>
    </row>
    <row r="51" spans="1:4" outlineLevel="2" x14ac:dyDescent="0.35">
      <c r="A51" s="113" t="s">
        <v>16</v>
      </c>
      <c r="B51" s="114" t="s">
        <v>113</v>
      </c>
      <c r="C51" s="29">
        <f>IF(C12&gt;60,(1/C12/3)*5,IF(C12&gt;48,(1/C12/3)*4,IF(C12&gt;36,(1/C12/3)*3,IF(C12&gt;24,(1/C12/3)*2,IF(C12&gt;12,(1/C12/3)*1,0)))))</f>
        <v>1.67E-2</v>
      </c>
      <c r="D51" s="104">
        <f>C51*D39</f>
        <v>24.34</v>
      </c>
    </row>
    <row r="52" spans="1:4" outlineLevel="1" x14ac:dyDescent="0.35">
      <c r="A52" s="644" t="s">
        <v>11</v>
      </c>
      <c r="B52" s="645"/>
      <c r="C52" s="30">
        <f>SUM(C50:C51)</f>
        <v>0.1</v>
      </c>
      <c r="D52" s="116">
        <f>SUM(D50:D51)</f>
        <v>145.75</v>
      </c>
    </row>
    <row r="53" spans="1:4" outlineLevel="1" x14ac:dyDescent="0.35">
      <c r="A53" s="646"/>
      <c r="B53" s="647"/>
      <c r="C53" s="647"/>
      <c r="D53" s="648"/>
    </row>
    <row r="54" spans="1:4" outlineLevel="1" x14ac:dyDescent="0.35">
      <c r="A54" s="110" t="s">
        <v>46</v>
      </c>
      <c r="B54" s="117" t="s">
        <v>47</v>
      </c>
      <c r="C54" s="110" t="s">
        <v>44</v>
      </c>
      <c r="D54" s="118" t="s">
        <v>35</v>
      </c>
    </row>
    <row r="55" spans="1:4" outlineLevel="2" x14ac:dyDescent="0.35">
      <c r="A55" s="111" t="s">
        <v>36</v>
      </c>
      <c r="B55" s="31" t="s">
        <v>48</v>
      </c>
      <c r="C55" s="32">
        <v>0.2</v>
      </c>
      <c r="D55" s="104">
        <f t="shared" ref="D55:D62" si="0">C55*($D$39+$D$52)</f>
        <v>320.64999999999998</v>
      </c>
    </row>
    <row r="56" spans="1:4" outlineLevel="2" x14ac:dyDescent="0.35">
      <c r="A56" s="111" t="s">
        <v>16</v>
      </c>
      <c r="B56" s="31" t="s">
        <v>49</v>
      </c>
      <c r="C56" s="32">
        <v>2.5000000000000001E-2</v>
      </c>
      <c r="D56" s="104">
        <f t="shared" si="0"/>
        <v>40.08</v>
      </c>
    </row>
    <row r="57" spans="1:4" outlineLevel="2" x14ac:dyDescent="0.35">
      <c r="A57" s="111" t="s">
        <v>17</v>
      </c>
      <c r="B57" s="31" t="s">
        <v>167</v>
      </c>
      <c r="C57" s="66">
        <v>0.03</v>
      </c>
      <c r="D57" s="104">
        <f t="shared" si="0"/>
        <v>48.1</v>
      </c>
    </row>
    <row r="58" spans="1:4" outlineLevel="2" x14ac:dyDescent="0.35">
      <c r="A58" s="111" t="s">
        <v>19</v>
      </c>
      <c r="B58" s="31" t="s">
        <v>168</v>
      </c>
      <c r="C58" s="32">
        <v>1.4999999999999999E-2</v>
      </c>
      <c r="D58" s="104">
        <f t="shared" si="0"/>
        <v>24.05</v>
      </c>
    </row>
    <row r="59" spans="1:4" outlineLevel="2" x14ac:dyDescent="0.35">
      <c r="A59" s="111" t="s">
        <v>22</v>
      </c>
      <c r="B59" s="31" t="s">
        <v>169</v>
      </c>
      <c r="C59" s="32">
        <v>0.01</v>
      </c>
      <c r="D59" s="104">
        <f t="shared" si="0"/>
        <v>16.03</v>
      </c>
    </row>
    <row r="60" spans="1:4" outlineLevel="2" x14ac:dyDescent="0.35">
      <c r="A60" s="111" t="s">
        <v>24</v>
      </c>
      <c r="B60" s="31" t="s">
        <v>50</v>
      </c>
      <c r="C60" s="32">
        <v>6.0000000000000001E-3</v>
      </c>
      <c r="D60" s="104">
        <f t="shared" si="0"/>
        <v>9.6199999999999992</v>
      </c>
    </row>
    <row r="61" spans="1:4" outlineLevel="2" x14ac:dyDescent="0.35">
      <c r="A61" s="111" t="s">
        <v>25</v>
      </c>
      <c r="B61" s="31" t="s">
        <v>51</v>
      </c>
      <c r="C61" s="32">
        <v>2E-3</v>
      </c>
      <c r="D61" s="104">
        <f t="shared" si="0"/>
        <v>3.21</v>
      </c>
    </row>
    <row r="62" spans="1:4" outlineLevel="2" x14ac:dyDescent="0.35">
      <c r="A62" s="111" t="s">
        <v>52</v>
      </c>
      <c r="B62" s="31" t="s">
        <v>53</v>
      </c>
      <c r="C62" s="32">
        <v>0.08</v>
      </c>
      <c r="D62" s="104">
        <f t="shared" si="0"/>
        <v>128.26</v>
      </c>
    </row>
    <row r="63" spans="1:4" outlineLevel="1" x14ac:dyDescent="0.35">
      <c r="A63" s="644" t="s">
        <v>11</v>
      </c>
      <c r="B63" s="645"/>
      <c r="C63" s="33">
        <f>SUM(C55:C62)</f>
        <v>0.36799999999999999</v>
      </c>
      <c r="D63" s="119">
        <f>SUM(D55:D62)</f>
        <v>590</v>
      </c>
    </row>
    <row r="64" spans="1:4" outlineLevel="1" x14ac:dyDescent="0.35">
      <c r="A64" s="646"/>
      <c r="B64" s="647"/>
      <c r="C64" s="647"/>
      <c r="D64" s="648"/>
    </row>
    <row r="65" spans="1:4" outlineLevel="1" x14ac:dyDescent="0.35">
      <c r="A65" s="110" t="s">
        <v>54</v>
      </c>
      <c r="B65" s="117" t="s">
        <v>55</v>
      </c>
      <c r="C65" s="110" t="s">
        <v>56</v>
      </c>
      <c r="D65" s="110" t="s">
        <v>35</v>
      </c>
    </row>
    <row r="66" spans="1:4" outlineLevel="2" x14ac:dyDescent="0.35">
      <c r="A66" s="111" t="s">
        <v>36</v>
      </c>
      <c r="B66" s="31" t="s">
        <v>57</v>
      </c>
      <c r="C66" s="120">
        <v>3.25</v>
      </c>
      <c r="D66" s="121">
        <f>IF(D67+D68&gt;0,(D67+D68),0)</f>
        <v>63.5</v>
      </c>
    </row>
    <row r="67" spans="1:4" outlineLevel="3" x14ac:dyDescent="0.35">
      <c r="A67" s="122" t="s">
        <v>110</v>
      </c>
      <c r="B67" s="31" t="s">
        <v>170</v>
      </c>
      <c r="C67" s="123">
        <v>22</v>
      </c>
      <c r="D67" s="124">
        <f>C66*C67*2</f>
        <v>143</v>
      </c>
    </row>
    <row r="68" spans="1:4" outlineLevel="3" x14ac:dyDescent="0.35">
      <c r="A68" s="122" t="s">
        <v>114</v>
      </c>
      <c r="B68" s="31" t="s">
        <v>171</v>
      </c>
      <c r="C68" s="125">
        <v>0.06</v>
      </c>
      <c r="D68" s="124">
        <f>-D27*C68</f>
        <v>-79.5</v>
      </c>
    </row>
    <row r="69" spans="1:4" outlineLevel="2" x14ac:dyDescent="0.35">
      <c r="A69" s="111" t="s">
        <v>16</v>
      </c>
      <c r="B69" s="31" t="s">
        <v>58</v>
      </c>
      <c r="C69" s="382">
        <f>290/22</f>
        <v>13.182</v>
      </c>
      <c r="D69" s="121">
        <f>D70+D71</f>
        <v>290</v>
      </c>
    </row>
    <row r="70" spans="1:4" outlineLevel="3" x14ac:dyDescent="0.35">
      <c r="A70" s="122" t="s">
        <v>90</v>
      </c>
      <c r="B70" s="31" t="s">
        <v>172</v>
      </c>
      <c r="C70" s="123">
        <v>22</v>
      </c>
      <c r="D70" s="124">
        <f>C69*C70</f>
        <v>290</v>
      </c>
    </row>
    <row r="71" spans="1:4" outlineLevel="3" x14ac:dyDescent="0.35">
      <c r="A71" s="122" t="s">
        <v>115</v>
      </c>
      <c r="B71" s="31" t="s">
        <v>91</v>
      </c>
      <c r="C71" s="127">
        <f>'SR - ASG int'!C71</f>
        <v>0</v>
      </c>
      <c r="D71" s="124">
        <f>D70*C71</f>
        <v>0</v>
      </c>
    </row>
    <row r="72" spans="1:4" outlineLevel="2" x14ac:dyDescent="0.35">
      <c r="A72" s="111" t="s">
        <v>17</v>
      </c>
      <c r="B72" s="75" t="s">
        <v>291</v>
      </c>
      <c r="C72" s="126">
        <f>'SR - ASG int'!C72</f>
        <v>9.6999999999999993</v>
      </c>
      <c r="D72" s="129">
        <f>C72</f>
        <v>9.6999999999999993</v>
      </c>
    </row>
    <row r="73" spans="1:4" outlineLevel="2" x14ac:dyDescent="0.35">
      <c r="A73" s="111" t="s">
        <v>19</v>
      </c>
      <c r="B73" s="76" t="s">
        <v>293</v>
      </c>
      <c r="C73" s="126">
        <f>140*3</f>
        <v>420</v>
      </c>
      <c r="D73" s="129">
        <f>C73*C152</f>
        <v>0.84</v>
      </c>
    </row>
    <row r="74" spans="1:4" outlineLevel="2" x14ac:dyDescent="0.35">
      <c r="A74" s="111" t="s">
        <v>22</v>
      </c>
      <c r="B74" s="75" t="s">
        <v>292</v>
      </c>
      <c r="C74" s="126">
        <v>21</v>
      </c>
      <c r="D74" s="129">
        <f>C74</f>
        <v>21</v>
      </c>
    </row>
    <row r="75" spans="1:4" outlineLevel="2" x14ac:dyDescent="0.35">
      <c r="A75" s="111" t="s">
        <v>24</v>
      </c>
      <c r="B75" s="75" t="s">
        <v>553</v>
      </c>
      <c r="C75" s="128">
        <v>0</v>
      </c>
      <c r="D75" s="129">
        <v>97</v>
      </c>
    </row>
    <row r="76" spans="1:4" outlineLevel="2" x14ac:dyDescent="0.35">
      <c r="A76" s="111" t="s">
        <v>25</v>
      </c>
      <c r="B76" s="75" t="s">
        <v>39</v>
      </c>
      <c r="C76" s="126">
        <v>0</v>
      </c>
      <c r="D76" s="130">
        <f>C76</f>
        <v>0</v>
      </c>
    </row>
    <row r="77" spans="1:4" outlineLevel="1" x14ac:dyDescent="0.35">
      <c r="A77" s="644" t="s">
        <v>59</v>
      </c>
      <c r="B77" s="657"/>
      <c r="C77" s="645"/>
      <c r="D77" s="116">
        <f>SUM(D66,D69,D72:D76)</f>
        <v>482.04</v>
      </c>
    </row>
    <row r="78" spans="1:4" outlineLevel="1" x14ac:dyDescent="0.35">
      <c r="A78" s="646"/>
      <c r="B78" s="647"/>
      <c r="C78" s="647"/>
      <c r="D78" s="648"/>
    </row>
    <row r="79" spans="1:4" outlineLevel="1" x14ac:dyDescent="0.35">
      <c r="A79" s="661" t="s">
        <v>60</v>
      </c>
      <c r="B79" s="662"/>
      <c r="C79" s="110" t="s">
        <v>44</v>
      </c>
      <c r="D79" s="110" t="s">
        <v>35</v>
      </c>
    </row>
    <row r="80" spans="1:4" outlineLevel="1" x14ac:dyDescent="0.35">
      <c r="A80" s="111" t="s">
        <v>61</v>
      </c>
      <c r="B80" s="31" t="s">
        <v>43</v>
      </c>
      <c r="C80" s="34">
        <f>C52</f>
        <v>0.1</v>
      </c>
      <c r="D80" s="104">
        <f>D52</f>
        <v>145.75</v>
      </c>
    </row>
    <row r="81" spans="1:4" outlineLevel="1" x14ac:dyDescent="0.35">
      <c r="A81" s="111" t="s">
        <v>46</v>
      </c>
      <c r="B81" s="31" t="s">
        <v>47</v>
      </c>
      <c r="C81" s="34">
        <f>C63</f>
        <v>0.36799999999999999</v>
      </c>
      <c r="D81" s="104">
        <f>D63</f>
        <v>590</v>
      </c>
    </row>
    <row r="82" spans="1:4" outlineLevel="1" x14ac:dyDescent="0.35">
      <c r="A82" s="111" t="s">
        <v>62</v>
      </c>
      <c r="B82" s="31" t="s">
        <v>55</v>
      </c>
      <c r="C82" s="34">
        <f>D77/D39</f>
        <v>0.33069999999999999</v>
      </c>
      <c r="D82" s="104">
        <f>D77</f>
        <v>482.04</v>
      </c>
    </row>
    <row r="83" spans="1:4" x14ac:dyDescent="0.35">
      <c r="A83" s="644" t="s">
        <v>11</v>
      </c>
      <c r="B83" s="657"/>
      <c r="C83" s="645"/>
      <c r="D83" s="116">
        <f>SUM(D80:D82)</f>
        <v>1217.79</v>
      </c>
    </row>
    <row r="84" spans="1:4" x14ac:dyDescent="0.35">
      <c r="A84" s="646"/>
      <c r="B84" s="647"/>
      <c r="C84" s="647"/>
      <c r="D84" s="648"/>
    </row>
    <row r="85" spans="1:4" x14ac:dyDescent="0.35">
      <c r="A85" s="680" t="s">
        <v>173</v>
      </c>
      <c r="B85" s="681"/>
      <c r="C85" s="681"/>
      <c r="D85" s="682"/>
    </row>
    <row r="86" spans="1:4" outlineLevel="1" x14ac:dyDescent="0.35">
      <c r="A86" s="646"/>
      <c r="B86" s="647"/>
      <c r="C86" s="647"/>
      <c r="D86" s="648"/>
    </row>
    <row r="87" spans="1:4" outlineLevel="1" x14ac:dyDescent="0.35">
      <c r="A87" s="64" t="s">
        <v>174</v>
      </c>
      <c r="B87" s="109" t="s">
        <v>175</v>
      </c>
      <c r="C87" s="110" t="s">
        <v>44</v>
      </c>
      <c r="D87" s="110" t="s">
        <v>35</v>
      </c>
    </row>
    <row r="88" spans="1:4" outlineLevel="2" x14ac:dyDescent="0.35">
      <c r="A88" s="35" t="s">
        <v>36</v>
      </c>
      <c r="B88" s="36" t="s">
        <v>176</v>
      </c>
      <c r="C88" s="35" t="s">
        <v>152</v>
      </c>
      <c r="D88" s="131">
        <f>IF(C99&gt;1,SUM(D89:D92)*2,SUM(D89:D92))</f>
        <v>2053.86</v>
      </c>
    </row>
    <row r="89" spans="1:4" outlineLevel="3" x14ac:dyDescent="0.35">
      <c r="A89" s="37" t="s">
        <v>177</v>
      </c>
      <c r="B89" s="38" t="s">
        <v>178</v>
      </c>
      <c r="C89" s="35">
        <f>(IF(C12&gt;60,45,IF(C12&gt;48,42,IF(C12&gt;36,39,IF(C12&gt;24,36,IF(C12&gt;12,33,30)))))/30)</f>
        <v>1.1000000000000001</v>
      </c>
      <c r="D89" s="131">
        <f>D39*C89</f>
        <v>1603.25</v>
      </c>
    </row>
    <row r="90" spans="1:4" outlineLevel="3" x14ac:dyDescent="0.35">
      <c r="A90" s="37" t="s">
        <v>179</v>
      </c>
      <c r="B90" s="38" t="s">
        <v>180</v>
      </c>
      <c r="C90" s="29">
        <f>1/12</f>
        <v>8.3299999999999999E-2</v>
      </c>
      <c r="D90" s="131">
        <f>C90*D89</f>
        <v>133.55000000000001</v>
      </c>
    </row>
    <row r="91" spans="1:4" outlineLevel="3" x14ac:dyDescent="0.35">
      <c r="A91" s="37" t="s">
        <v>181</v>
      </c>
      <c r="B91" s="38" t="s">
        <v>182</v>
      </c>
      <c r="C91" s="29">
        <f>(1/12)+(1/12/3)</f>
        <v>0.1111</v>
      </c>
      <c r="D91" s="132">
        <f>C91*D89</f>
        <v>178.12</v>
      </c>
    </row>
    <row r="92" spans="1:4" outlineLevel="3" x14ac:dyDescent="0.35">
      <c r="A92" s="37" t="s">
        <v>183</v>
      </c>
      <c r="B92" s="38" t="s">
        <v>184</v>
      </c>
      <c r="C92" s="39">
        <v>0.08</v>
      </c>
      <c r="D92" s="131">
        <f>SUM(D89:D90)*C92</f>
        <v>138.94</v>
      </c>
    </row>
    <row r="93" spans="1:4" outlineLevel="2" x14ac:dyDescent="0.35">
      <c r="A93" s="35" t="s">
        <v>16</v>
      </c>
      <c r="B93" s="36" t="s">
        <v>185</v>
      </c>
      <c r="C93" s="40">
        <v>0.4</v>
      </c>
      <c r="D93" s="131">
        <f>C93*D94</f>
        <v>1027.6400000000001</v>
      </c>
    </row>
    <row r="94" spans="1:4" outlineLevel="3" x14ac:dyDescent="0.35">
      <c r="A94" s="35" t="s">
        <v>186</v>
      </c>
      <c r="B94" s="36" t="s">
        <v>187</v>
      </c>
      <c r="C94" s="40">
        <f>C62</f>
        <v>0.08</v>
      </c>
      <c r="D94" s="131">
        <f>C94*D95</f>
        <v>2569.09</v>
      </c>
    </row>
    <row r="95" spans="1:4" outlineLevel="3" x14ac:dyDescent="0.35">
      <c r="A95" s="35" t="s">
        <v>188</v>
      </c>
      <c r="B95" s="41" t="s">
        <v>116</v>
      </c>
      <c r="C95" s="42" t="s">
        <v>152</v>
      </c>
      <c r="D95" s="132">
        <f>SUM(D96:D98)</f>
        <v>32113.58</v>
      </c>
    </row>
    <row r="96" spans="1:4" outlineLevel="3" x14ac:dyDescent="0.35">
      <c r="A96" s="37" t="s">
        <v>189</v>
      </c>
      <c r="B96" s="38" t="s">
        <v>190</v>
      </c>
      <c r="C96" s="43">
        <f>C12-C98</f>
        <v>19</v>
      </c>
      <c r="D96" s="131">
        <f>D39*C96</f>
        <v>27692.5</v>
      </c>
    </row>
    <row r="97" spans="1:4" outlineLevel="3" x14ac:dyDescent="0.35">
      <c r="A97" s="37" t="s">
        <v>191</v>
      </c>
      <c r="B97" s="38" t="s">
        <v>192</v>
      </c>
      <c r="C97" s="44">
        <f>C12/12</f>
        <v>1.7</v>
      </c>
      <c r="D97" s="131">
        <f>D39*C97</f>
        <v>2477.75</v>
      </c>
    </row>
    <row r="98" spans="1:4" outlineLevel="3" x14ac:dyDescent="0.35">
      <c r="A98" s="37" t="s">
        <v>193</v>
      </c>
      <c r="B98" s="38" t="s">
        <v>194</v>
      </c>
      <c r="C98" s="42">
        <f>IF(C12&gt;60,5,IF(C12&gt;48,4,IF(C12&gt;36,3,IF(C12&gt;24,2,IF(C12&gt;12,1,0)))))</f>
        <v>1</v>
      </c>
      <c r="D98" s="132">
        <f>D39*C98*1.33333333333333</f>
        <v>1943.33</v>
      </c>
    </row>
    <row r="99" spans="1:4" outlineLevel="1" x14ac:dyDescent="0.35">
      <c r="A99" s="644" t="s">
        <v>11</v>
      </c>
      <c r="B99" s="645"/>
      <c r="C99" s="67">
        <f>'SR - ASG int'!C99</f>
        <v>5.5500000000000001E-2</v>
      </c>
      <c r="D99" s="116">
        <f>IF(C99&gt;1,D88+D93,(D88+D93)*C99)</f>
        <v>171.02</v>
      </c>
    </row>
    <row r="100" spans="1:4" outlineLevel="1" x14ac:dyDescent="0.35">
      <c r="A100" s="658"/>
      <c r="B100" s="659"/>
      <c r="C100" s="659"/>
      <c r="D100" s="660"/>
    </row>
    <row r="101" spans="1:4" outlineLevel="1" x14ac:dyDescent="0.35">
      <c r="A101" s="64" t="s">
        <v>195</v>
      </c>
      <c r="B101" s="109" t="s">
        <v>196</v>
      </c>
      <c r="C101" s="110" t="s">
        <v>44</v>
      </c>
      <c r="D101" s="110" t="s">
        <v>35</v>
      </c>
    </row>
    <row r="102" spans="1:4" outlineLevel="2" x14ac:dyDescent="0.35">
      <c r="A102" s="35" t="s">
        <v>36</v>
      </c>
      <c r="B102" s="41" t="s">
        <v>197</v>
      </c>
      <c r="C102" s="45">
        <f>IF(C111&gt;1,(1/30*7)*2,(1/30*7))</f>
        <v>0.23330000000000001</v>
      </c>
      <c r="D102" s="132">
        <f>C102*SUM(D103:D107)</f>
        <v>654.15</v>
      </c>
    </row>
    <row r="103" spans="1:4" outlineLevel="3" x14ac:dyDescent="0.35">
      <c r="A103" s="37" t="s">
        <v>177</v>
      </c>
      <c r="B103" s="38" t="s">
        <v>198</v>
      </c>
      <c r="C103" s="35">
        <v>1</v>
      </c>
      <c r="D103" s="131">
        <f>D39</f>
        <v>1457.5</v>
      </c>
    </row>
    <row r="104" spans="1:4" outlineLevel="3" x14ac:dyDescent="0.35">
      <c r="A104" s="37" t="s">
        <v>179</v>
      </c>
      <c r="B104" s="38" t="s">
        <v>199</v>
      </c>
      <c r="C104" s="29">
        <f>1/12</f>
        <v>8.3299999999999999E-2</v>
      </c>
      <c r="D104" s="131">
        <f>C104*D103</f>
        <v>121.41</v>
      </c>
    </row>
    <row r="105" spans="1:4" outlineLevel="3" x14ac:dyDescent="0.35">
      <c r="A105" s="37" t="s">
        <v>181</v>
      </c>
      <c r="B105" s="38" t="s">
        <v>200</v>
      </c>
      <c r="C105" s="29">
        <f>(1/12)+(1/12/3)</f>
        <v>0.1111</v>
      </c>
      <c r="D105" s="131">
        <f>C105*D103</f>
        <v>161.93</v>
      </c>
    </row>
    <row r="106" spans="1:4" outlineLevel="3" x14ac:dyDescent="0.35">
      <c r="A106" s="37" t="s">
        <v>183</v>
      </c>
      <c r="B106" s="46" t="s">
        <v>63</v>
      </c>
      <c r="C106" s="47">
        <f>C63</f>
        <v>0.36799999999999999</v>
      </c>
      <c r="D106" s="132">
        <f>C106*(D103+D104)</f>
        <v>581.04</v>
      </c>
    </row>
    <row r="107" spans="1:4" outlineLevel="3" x14ac:dyDescent="0.35">
      <c r="A107" s="37" t="s">
        <v>201</v>
      </c>
      <c r="B107" s="46" t="s">
        <v>202</v>
      </c>
      <c r="C107" s="42">
        <v>1</v>
      </c>
      <c r="D107" s="132">
        <f>D77</f>
        <v>482.04</v>
      </c>
    </row>
    <row r="108" spans="1:4" outlineLevel="2" x14ac:dyDescent="0.35">
      <c r="A108" s="35" t="s">
        <v>16</v>
      </c>
      <c r="B108" s="36" t="s">
        <v>203</v>
      </c>
      <c r="C108" s="40">
        <v>0.4</v>
      </c>
      <c r="D108" s="131">
        <f>C108*D109</f>
        <v>1027.6400000000001</v>
      </c>
    </row>
    <row r="109" spans="1:4" outlineLevel="2" x14ac:dyDescent="0.35">
      <c r="A109" s="35" t="s">
        <v>186</v>
      </c>
      <c r="B109" s="36" t="s">
        <v>187</v>
      </c>
      <c r="C109" s="40">
        <f>C62</f>
        <v>0.08</v>
      </c>
      <c r="D109" s="131">
        <f>C109*D110</f>
        <v>2569.09</v>
      </c>
    </row>
    <row r="110" spans="1:4" outlineLevel="2" x14ac:dyDescent="0.35">
      <c r="A110" s="35" t="s">
        <v>188</v>
      </c>
      <c r="B110" s="41" t="s">
        <v>116</v>
      </c>
      <c r="C110" s="42" t="s">
        <v>152</v>
      </c>
      <c r="D110" s="132">
        <f>D95</f>
        <v>32113.58</v>
      </c>
    </row>
    <row r="111" spans="1:4" outlineLevel="1" x14ac:dyDescent="0.35">
      <c r="A111" s="644" t="s">
        <v>11</v>
      </c>
      <c r="B111" s="645"/>
      <c r="C111" s="67">
        <f>'SR - ASG int'!C111</f>
        <v>0.94450000000000001</v>
      </c>
      <c r="D111" s="116">
        <f>IF(C111&gt;1,D102+D108,(D102+D108)*C111)</f>
        <v>1588.45</v>
      </c>
    </row>
    <row r="112" spans="1:4" outlineLevel="1" x14ac:dyDescent="0.35">
      <c r="A112" s="658"/>
      <c r="B112" s="659"/>
      <c r="C112" s="659"/>
      <c r="D112" s="660"/>
    </row>
    <row r="113" spans="1:4" outlineLevel="1" x14ac:dyDescent="0.35">
      <c r="A113" s="64" t="s">
        <v>204</v>
      </c>
      <c r="B113" s="109" t="s">
        <v>205</v>
      </c>
      <c r="C113" s="110" t="s">
        <v>44</v>
      </c>
      <c r="D113" s="110" t="s">
        <v>35</v>
      </c>
    </row>
    <row r="114" spans="1:4" outlineLevel="2" x14ac:dyDescent="0.35">
      <c r="A114" s="111" t="s">
        <v>36</v>
      </c>
      <c r="B114" s="31" t="s">
        <v>206</v>
      </c>
      <c r="C114" s="34">
        <f>IF(C12&gt;60,(D39/12*(C12-60))/C12/D39,IF(C12&gt;48,(D39/12*(C12-48))/C12/D39,IF(C12&gt;36,(D39/12*(C12-36))/C12/D39,IF(C12&gt;24,(D39/12*(C12-24))/C12/D39,IF(C12&gt;12,((D39/12*(C12-12))/C12/D39),1/12)))))</f>
        <v>3.3300000000000003E-2</v>
      </c>
      <c r="D114" s="133">
        <f>C114*D39</f>
        <v>48.53</v>
      </c>
    </row>
    <row r="115" spans="1:4" outlineLevel="2" x14ac:dyDescent="0.35">
      <c r="A115" s="111" t="s">
        <v>16</v>
      </c>
      <c r="B115" s="48" t="s">
        <v>207</v>
      </c>
      <c r="C115" s="34">
        <f>C114/3</f>
        <v>1.11E-2</v>
      </c>
      <c r="D115" s="134">
        <f>C115*D39</f>
        <v>16.18</v>
      </c>
    </row>
    <row r="116" spans="1:4" outlineLevel="1" x14ac:dyDescent="0.35">
      <c r="A116" s="644" t="s">
        <v>11</v>
      </c>
      <c r="B116" s="645"/>
      <c r="C116" s="30">
        <f>C114+C115</f>
        <v>4.4400000000000002E-2</v>
      </c>
      <c r="D116" s="116">
        <f>SUM(D114:D115)</f>
        <v>64.709999999999994</v>
      </c>
    </row>
    <row r="117" spans="1:4" outlineLevel="1" x14ac:dyDescent="0.35">
      <c r="A117" s="658"/>
      <c r="B117" s="659"/>
      <c r="C117" s="659"/>
      <c r="D117" s="660"/>
    </row>
    <row r="118" spans="1:4" outlineLevel="1" x14ac:dyDescent="0.35">
      <c r="A118" s="661" t="s">
        <v>208</v>
      </c>
      <c r="B118" s="662"/>
      <c r="C118" s="110" t="s">
        <v>44</v>
      </c>
      <c r="D118" s="110" t="s">
        <v>35</v>
      </c>
    </row>
    <row r="119" spans="1:4" outlineLevel="1" x14ac:dyDescent="0.35">
      <c r="A119" s="111" t="s">
        <v>174</v>
      </c>
      <c r="B119" s="31" t="s">
        <v>175</v>
      </c>
      <c r="C119" s="34">
        <f>C99</f>
        <v>5.5500000000000001E-2</v>
      </c>
      <c r="D119" s="104">
        <f>D99</f>
        <v>171.02</v>
      </c>
    </row>
    <row r="120" spans="1:4" outlineLevel="1" x14ac:dyDescent="0.35">
      <c r="A120" s="113" t="s">
        <v>195</v>
      </c>
      <c r="B120" s="31" t="s">
        <v>196</v>
      </c>
      <c r="C120" s="49">
        <f>C111</f>
        <v>0.94450000000000001</v>
      </c>
      <c r="D120" s="104">
        <f>D111</f>
        <v>1588.45</v>
      </c>
    </row>
    <row r="121" spans="1:4" outlineLevel="1" x14ac:dyDescent="0.35">
      <c r="A121" s="679" t="s">
        <v>209</v>
      </c>
      <c r="B121" s="679"/>
      <c r="C121" s="679"/>
      <c r="D121" s="135">
        <f>D119+D120</f>
        <v>1759.47</v>
      </c>
    </row>
    <row r="122" spans="1:4" outlineLevel="1" x14ac:dyDescent="0.35">
      <c r="A122" s="675" t="s">
        <v>210</v>
      </c>
      <c r="B122" s="676"/>
      <c r="C122" s="68">
        <f>'SR - ASG int'!C122</f>
        <v>0.63570000000000004</v>
      </c>
      <c r="D122" s="58">
        <f>C122*D121</f>
        <v>1118.5</v>
      </c>
    </row>
    <row r="123" spans="1:4" outlineLevel="1" x14ac:dyDescent="0.35">
      <c r="A123" s="675" t="s">
        <v>211</v>
      </c>
      <c r="B123" s="676"/>
      <c r="C123" s="68">
        <f>'SR - ASG int'!C123</f>
        <v>1.0999999999999999E-2</v>
      </c>
      <c r="D123" s="58">
        <f>(D50+(D116/2))*-C123</f>
        <v>-1.69</v>
      </c>
    </row>
    <row r="124" spans="1:4" outlineLevel="1" x14ac:dyDescent="0.35">
      <c r="A124" s="677" t="s">
        <v>212</v>
      </c>
      <c r="B124" s="678"/>
      <c r="C124" s="72">
        <f>1/C12</f>
        <v>0.05</v>
      </c>
      <c r="D124" s="59">
        <f>(D122+D123)*C124</f>
        <v>55.84</v>
      </c>
    </row>
    <row r="125" spans="1:4" outlineLevel="1" x14ac:dyDescent="0.35">
      <c r="A125" s="113" t="s">
        <v>204</v>
      </c>
      <c r="B125" s="31" t="s">
        <v>213</v>
      </c>
      <c r="C125" s="49"/>
      <c r="D125" s="124">
        <f>D116</f>
        <v>64.709999999999994</v>
      </c>
    </row>
    <row r="126" spans="1:4" x14ac:dyDescent="0.35">
      <c r="A126" s="644" t="s">
        <v>11</v>
      </c>
      <c r="B126" s="645"/>
      <c r="C126" s="30"/>
      <c r="D126" s="136">
        <f>D124+D125</f>
        <v>120.55</v>
      </c>
    </row>
    <row r="127" spans="1:4" x14ac:dyDescent="0.35">
      <c r="A127" s="646"/>
      <c r="B127" s="647"/>
      <c r="C127" s="647"/>
      <c r="D127" s="648"/>
    </row>
    <row r="128" spans="1:4" x14ac:dyDescent="0.35">
      <c r="A128" s="663" t="s">
        <v>64</v>
      </c>
      <c r="B128" s="664"/>
      <c r="C128" s="664"/>
      <c r="D128" s="665"/>
    </row>
    <row r="129" spans="1:4" outlineLevel="1" x14ac:dyDescent="0.35">
      <c r="A129" s="658"/>
      <c r="B129" s="659"/>
      <c r="C129" s="659"/>
      <c r="D129" s="660"/>
    </row>
    <row r="130" spans="1:4" outlineLevel="1" x14ac:dyDescent="0.35">
      <c r="A130" s="110" t="s">
        <v>65</v>
      </c>
      <c r="B130" s="117" t="s">
        <v>214</v>
      </c>
      <c r="C130" s="30" t="s">
        <v>44</v>
      </c>
      <c r="D130" s="110" t="s">
        <v>35</v>
      </c>
    </row>
    <row r="131" spans="1:4" outlineLevel="2" x14ac:dyDescent="0.35">
      <c r="A131" s="137" t="s">
        <v>36</v>
      </c>
      <c r="B131" s="89" t="s">
        <v>66</v>
      </c>
      <c r="C131" s="50">
        <f>IF(C12&gt;60,5/C12,IF(C12&gt;48,4/C12,IF(C12&gt;36,3/C12,IF(C12&gt;24,2/C12,IF(C12&gt;12,1/C12,0)))))</f>
        <v>0.05</v>
      </c>
      <c r="D131" s="133">
        <f>SUM(D132:D136)</f>
        <v>94.19</v>
      </c>
    </row>
    <row r="132" spans="1:4" outlineLevel="3" x14ac:dyDescent="0.35">
      <c r="A132" s="138" t="s">
        <v>215</v>
      </c>
      <c r="B132" s="90" t="s">
        <v>216</v>
      </c>
      <c r="C132" s="139">
        <f>D39</f>
        <v>1457.5</v>
      </c>
      <c r="D132" s="140">
        <f>$C$131*(D39)-($C$131*(D39)*C137/3)</f>
        <v>72.88</v>
      </c>
    </row>
    <row r="133" spans="1:4" outlineLevel="3" x14ac:dyDescent="0.35">
      <c r="A133" s="138" t="s">
        <v>217</v>
      </c>
      <c r="B133" s="90" t="s">
        <v>218</v>
      </c>
      <c r="C133" s="139">
        <f>(D50)</f>
        <v>121.41</v>
      </c>
      <c r="D133" s="140">
        <f>$C$131*C133-($C$131*C133*C137/3)</f>
        <v>6.07</v>
      </c>
    </row>
    <row r="134" spans="1:4" outlineLevel="3" x14ac:dyDescent="0.35">
      <c r="A134" s="138" t="s">
        <v>219</v>
      </c>
      <c r="B134" s="90" t="s">
        <v>220</v>
      </c>
      <c r="C134" s="141">
        <f>(D39/12)+(D51*IF(C12&gt;60,((C12-60)*(1/60))+1,IF(C12&gt;48,((C12-48)*(1/48))+1,IF(C12&gt;36,((C12-36)*(1/36))+1,IF(C12&gt;24,((C12-24)*(1/24))+1,IF(C12&gt;12,((C12-12)*(1/12))+1,1))))))</f>
        <v>162.03</v>
      </c>
      <c r="D134" s="140">
        <f>$C$131*C134-($C$131*C134*C137/3)</f>
        <v>8.1</v>
      </c>
    </row>
    <row r="135" spans="1:4" outlineLevel="3" x14ac:dyDescent="0.35">
      <c r="A135" s="138" t="s">
        <v>221</v>
      </c>
      <c r="B135" s="90" t="s">
        <v>222</v>
      </c>
      <c r="C135" s="91">
        <f>C63</f>
        <v>0.36799999999999999</v>
      </c>
      <c r="D135" s="140">
        <f>SUM(D132:D134)*C131</f>
        <v>4.3499999999999996</v>
      </c>
    </row>
    <row r="136" spans="1:4" outlineLevel="3" x14ac:dyDescent="0.35">
      <c r="A136" s="138" t="s">
        <v>223</v>
      </c>
      <c r="B136" s="90" t="s">
        <v>224</v>
      </c>
      <c r="C136" s="141">
        <f>D124</f>
        <v>55.84</v>
      </c>
      <c r="D136" s="140">
        <f>C136*C131</f>
        <v>2.79</v>
      </c>
    </row>
    <row r="137" spans="1:4" outlineLevel="2" x14ac:dyDescent="0.35">
      <c r="A137" s="111" t="s">
        <v>16</v>
      </c>
      <c r="B137" s="31" t="s">
        <v>225</v>
      </c>
      <c r="C137" s="92">
        <v>0</v>
      </c>
      <c r="D137" s="124">
        <f>$C$131*(D39)*(C137/3)</f>
        <v>0</v>
      </c>
    </row>
    <row r="138" spans="1:4" outlineLevel="1" x14ac:dyDescent="0.35">
      <c r="A138" s="644" t="s">
        <v>226</v>
      </c>
      <c r="B138" s="645"/>
      <c r="C138" s="30">
        <f>C131+(D137/D39)</f>
        <v>0.05</v>
      </c>
      <c r="D138" s="116">
        <f>SUM(D131:D137)</f>
        <v>188.38</v>
      </c>
    </row>
    <row r="139" spans="1:4" outlineLevel="1" x14ac:dyDescent="0.35">
      <c r="A139" s="658"/>
      <c r="B139" s="659"/>
      <c r="C139" s="659"/>
      <c r="D139" s="660"/>
    </row>
    <row r="140" spans="1:4" outlineLevel="2" x14ac:dyDescent="0.35">
      <c r="A140" s="668" t="s">
        <v>227</v>
      </c>
      <c r="B140" s="142" t="s">
        <v>190</v>
      </c>
      <c r="C140" s="93">
        <v>220</v>
      </c>
      <c r="D140" s="143">
        <f>D39</f>
        <v>1457.5</v>
      </c>
    </row>
    <row r="141" spans="1:4" outlineLevel="2" x14ac:dyDescent="0.35">
      <c r="A141" s="669"/>
      <c r="B141" s="142" t="s">
        <v>228</v>
      </c>
      <c r="C141" s="50">
        <f>(1+(1/3)+1)/12</f>
        <v>0.19439999999999999</v>
      </c>
      <c r="D141" s="144">
        <f>D140*C141</f>
        <v>283.33999999999997</v>
      </c>
    </row>
    <row r="142" spans="1:4" outlineLevel="2" x14ac:dyDescent="0.35">
      <c r="A142" s="669"/>
      <c r="B142" s="142" t="s">
        <v>229</v>
      </c>
      <c r="C142" s="50">
        <f>C63</f>
        <v>0.36799999999999999</v>
      </c>
      <c r="D142" s="144">
        <f>(D140+D141)*C142</f>
        <v>640.63</v>
      </c>
    </row>
    <row r="143" spans="1:4" outlineLevel="2" x14ac:dyDescent="0.35">
      <c r="A143" s="669"/>
      <c r="B143" s="142" t="s">
        <v>230</v>
      </c>
      <c r="C143" s="50">
        <f>D143/D140</f>
        <v>0.33069999999999999</v>
      </c>
      <c r="D143" s="144">
        <f>D77</f>
        <v>482.04</v>
      </c>
    </row>
    <row r="144" spans="1:4" outlineLevel="2" x14ac:dyDescent="0.35">
      <c r="A144" s="670"/>
      <c r="B144" s="145" t="s">
        <v>231</v>
      </c>
      <c r="C144" s="50">
        <f>D144/D140</f>
        <v>3.8300000000000001E-2</v>
      </c>
      <c r="D144" s="144">
        <f>D124</f>
        <v>55.84</v>
      </c>
    </row>
    <row r="145" spans="1:4" outlineLevel="2" x14ac:dyDescent="0.35">
      <c r="A145" s="671" t="s">
        <v>232</v>
      </c>
      <c r="B145" s="672"/>
      <c r="C145" s="94">
        <f>D145/D140</f>
        <v>2.0030000000000001</v>
      </c>
      <c r="D145" s="146">
        <f>SUM(D140:D144)</f>
        <v>2919.35</v>
      </c>
    </row>
    <row r="146" spans="1:4" outlineLevel="2" x14ac:dyDescent="0.35">
      <c r="A146" s="673"/>
      <c r="B146" s="673"/>
      <c r="C146" s="673"/>
      <c r="D146" s="674"/>
    </row>
    <row r="147" spans="1:4" outlineLevel="1" x14ac:dyDescent="0.35">
      <c r="A147" s="110" t="s">
        <v>233</v>
      </c>
      <c r="B147" s="117" t="s">
        <v>234</v>
      </c>
      <c r="C147" s="30" t="s">
        <v>44</v>
      </c>
      <c r="D147" s="110" t="s">
        <v>35</v>
      </c>
    </row>
    <row r="148" spans="1:4" outlineLevel="2" x14ac:dyDescent="0.35">
      <c r="A148" s="111" t="s">
        <v>16</v>
      </c>
      <c r="B148" s="31" t="s">
        <v>118</v>
      </c>
      <c r="C148" s="77">
        <f>5/252</f>
        <v>1.9800000000000002E-2</v>
      </c>
      <c r="D148" s="133">
        <f>C148*$D$145</f>
        <v>57.8</v>
      </c>
    </row>
    <row r="149" spans="1:4" outlineLevel="2" x14ac:dyDescent="0.35">
      <c r="A149" s="111" t="s">
        <v>17</v>
      </c>
      <c r="B149" s="31" t="s">
        <v>119</v>
      </c>
      <c r="C149" s="77">
        <f>1.383/252</f>
        <v>5.4999999999999997E-3</v>
      </c>
      <c r="D149" s="133">
        <f>C149*$D$145</f>
        <v>16.059999999999999</v>
      </c>
    </row>
    <row r="150" spans="1:4" outlineLevel="2" x14ac:dyDescent="0.35">
      <c r="A150" s="111" t="s">
        <v>19</v>
      </c>
      <c r="B150" s="31" t="s">
        <v>117</v>
      </c>
      <c r="C150" s="77">
        <f>1.3892/252</f>
        <v>5.4999999999999997E-3</v>
      </c>
      <c r="D150" s="133">
        <f t="shared" ref="D150:D153" si="1">C150*$D$145</f>
        <v>16.059999999999999</v>
      </c>
    </row>
    <row r="151" spans="1:4" outlineLevel="2" x14ac:dyDescent="0.35">
      <c r="A151" s="111" t="s">
        <v>22</v>
      </c>
      <c r="B151" s="31" t="s">
        <v>67</v>
      </c>
      <c r="C151" s="77">
        <f>0.65/252</f>
        <v>2.5999999999999999E-3</v>
      </c>
      <c r="D151" s="133">
        <f t="shared" si="1"/>
        <v>7.59</v>
      </c>
    </row>
    <row r="152" spans="1:4" outlineLevel="2" x14ac:dyDescent="0.35">
      <c r="A152" s="111" t="s">
        <v>24</v>
      </c>
      <c r="B152" s="31" t="s">
        <v>68</v>
      </c>
      <c r="C152" s="77">
        <f>0.5052/252</f>
        <v>2E-3</v>
      </c>
      <c r="D152" s="133">
        <f t="shared" si="1"/>
        <v>5.84</v>
      </c>
    </row>
    <row r="153" spans="1:4" outlineLevel="2" x14ac:dyDescent="0.35">
      <c r="A153" s="111" t="s">
        <v>36</v>
      </c>
      <c r="B153" s="61" t="s">
        <v>235</v>
      </c>
      <c r="C153" s="69">
        <f>0.2/252</f>
        <v>8.0000000000000004E-4</v>
      </c>
      <c r="D153" s="133">
        <f t="shared" si="1"/>
        <v>2.34</v>
      </c>
    </row>
    <row r="154" spans="1:4" outlineLevel="1" x14ac:dyDescent="0.35">
      <c r="A154" s="644" t="s">
        <v>226</v>
      </c>
      <c r="B154" s="645"/>
      <c r="C154" s="30">
        <f>SUM(C148:C153)</f>
        <v>3.6200000000000003E-2</v>
      </c>
      <c r="D154" s="116">
        <f>SUM(D148:D153)</f>
        <v>105.69</v>
      </c>
    </row>
    <row r="155" spans="1:4" outlineLevel="1" x14ac:dyDescent="0.35">
      <c r="A155" s="658"/>
      <c r="B155" s="659"/>
      <c r="C155" s="659"/>
      <c r="D155" s="660"/>
    </row>
    <row r="156" spans="1:4" outlineLevel="1" x14ac:dyDescent="0.35">
      <c r="A156" s="661" t="s">
        <v>236</v>
      </c>
      <c r="B156" s="666"/>
      <c r="C156" s="30" t="s">
        <v>237</v>
      </c>
      <c r="D156" s="110" t="s">
        <v>35</v>
      </c>
    </row>
    <row r="157" spans="1:4" outlineLevel="2" x14ac:dyDescent="0.4">
      <c r="A157" s="667" t="s">
        <v>238</v>
      </c>
      <c r="B157" s="142" t="s">
        <v>239</v>
      </c>
      <c r="C157" s="95">
        <f>C153</f>
        <v>8.0000000000000004E-4</v>
      </c>
      <c r="D157" s="147">
        <f>C157*-D140</f>
        <v>-1.17</v>
      </c>
    </row>
    <row r="158" spans="1:4" outlineLevel="2" x14ac:dyDescent="0.4">
      <c r="A158" s="667"/>
      <c r="B158" s="148" t="s">
        <v>240</v>
      </c>
      <c r="C158" s="96">
        <v>0</v>
      </c>
      <c r="D158" s="149">
        <f>C158*-(D140/220/24*5)</f>
        <v>0</v>
      </c>
    </row>
    <row r="159" spans="1:4" outlineLevel="2" x14ac:dyDescent="0.4">
      <c r="A159" s="667"/>
      <c r="B159" s="148" t="s">
        <v>241</v>
      </c>
      <c r="C159" s="96">
        <v>0</v>
      </c>
      <c r="D159" s="149">
        <f>C159*-D141</f>
        <v>0</v>
      </c>
    </row>
    <row r="160" spans="1:4" outlineLevel="2" x14ac:dyDescent="0.4">
      <c r="A160" s="667"/>
      <c r="B160" s="142" t="s">
        <v>242</v>
      </c>
      <c r="C160" s="95">
        <f>C154</f>
        <v>3.6200000000000003E-2</v>
      </c>
      <c r="D160" s="147">
        <f>C160*-D66</f>
        <v>-2.2999999999999998</v>
      </c>
    </row>
    <row r="161" spans="1:4" outlineLevel="2" x14ac:dyDescent="0.4">
      <c r="A161" s="667"/>
      <c r="B161" s="142" t="s">
        <v>243</v>
      </c>
      <c r="C161" s="95">
        <f>C154</f>
        <v>3.6200000000000003E-2</v>
      </c>
      <c r="D161" s="147">
        <f>C161*-D69</f>
        <v>-10.5</v>
      </c>
    </row>
    <row r="162" spans="1:4" outlineLevel="2" x14ac:dyDescent="0.4">
      <c r="A162" s="667"/>
      <c r="B162" s="145" t="s">
        <v>244</v>
      </c>
      <c r="C162" s="95">
        <f>C153</f>
        <v>8.0000000000000004E-4</v>
      </c>
      <c r="D162" s="147">
        <f>C162*-D74</f>
        <v>-0.02</v>
      </c>
    </row>
    <row r="163" spans="1:4" outlineLevel="2" x14ac:dyDescent="0.35">
      <c r="A163" s="667"/>
      <c r="B163" s="145" t="s">
        <v>245</v>
      </c>
      <c r="C163" s="97">
        <f>C152</f>
        <v>2E-3</v>
      </c>
      <c r="D163" s="133">
        <f>C163*-SUM(D55:D61)</f>
        <v>-0.92</v>
      </c>
    </row>
    <row r="164" spans="1:4" outlineLevel="2" x14ac:dyDescent="0.4">
      <c r="A164" s="667"/>
      <c r="B164" s="142" t="s">
        <v>246</v>
      </c>
      <c r="C164" s="95">
        <f>C153</f>
        <v>8.0000000000000004E-4</v>
      </c>
      <c r="D164" s="147">
        <f>C164*-D142</f>
        <v>-0.51</v>
      </c>
    </row>
    <row r="165" spans="1:4" outlineLevel="1" x14ac:dyDescent="0.35">
      <c r="A165" s="644" t="s">
        <v>247</v>
      </c>
      <c r="B165" s="645"/>
      <c r="C165" s="30">
        <f>D165/D140</f>
        <v>-1.06E-2</v>
      </c>
      <c r="D165" s="116">
        <f>SUM(D157:D164)</f>
        <v>-15.42</v>
      </c>
    </row>
    <row r="166" spans="1:4" outlineLevel="1" x14ac:dyDescent="0.35">
      <c r="A166" s="658"/>
      <c r="B166" s="659"/>
      <c r="C166" s="659"/>
      <c r="D166" s="660"/>
    </row>
    <row r="167" spans="1:4" outlineLevel="1" x14ac:dyDescent="0.35">
      <c r="A167" s="644" t="s">
        <v>248</v>
      </c>
      <c r="B167" s="645"/>
      <c r="C167" s="30">
        <f>D167/D140</f>
        <v>6.1899999999999997E-2</v>
      </c>
      <c r="D167" s="116">
        <f>D154+D165</f>
        <v>90.27</v>
      </c>
    </row>
    <row r="168" spans="1:4" outlineLevel="1" x14ac:dyDescent="0.35">
      <c r="A168" s="658"/>
      <c r="B168" s="659"/>
      <c r="C168" s="659"/>
      <c r="D168" s="660"/>
    </row>
    <row r="169" spans="1:4" outlineLevel="1" x14ac:dyDescent="0.35">
      <c r="A169" s="661" t="s">
        <v>249</v>
      </c>
      <c r="B169" s="662"/>
      <c r="C169" s="110" t="s">
        <v>44</v>
      </c>
      <c r="D169" s="110" t="s">
        <v>35</v>
      </c>
    </row>
    <row r="170" spans="1:4" outlineLevel="1" x14ac:dyDescent="0.35">
      <c r="A170" s="111" t="s">
        <v>65</v>
      </c>
      <c r="B170" s="31" t="s">
        <v>214</v>
      </c>
      <c r="C170" s="34"/>
      <c r="D170" s="150">
        <f>D138</f>
        <v>188.38</v>
      </c>
    </row>
    <row r="171" spans="1:4" outlineLevel="1" x14ac:dyDescent="0.35">
      <c r="A171" s="111" t="s">
        <v>233</v>
      </c>
      <c r="B171" s="31" t="s">
        <v>234</v>
      </c>
      <c r="C171" s="34"/>
      <c r="D171" s="150">
        <f>D167</f>
        <v>90.27</v>
      </c>
    </row>
    <row r="172" spans="1:4" x14ac:dyDescent="0.35">
      <c r="A172" s="644" t="s">
        <v>11</v>
      </c>
      <c r="B172" s="657"/>
      <c r="C172" s="645"/>
      <c r="D172" s="119">
        <f>SUM(D170:D171)</f>
        <v>278.64999999999998</v>
      </c>
    </row>
    <row r="173" spans="1:4" x14ac:dyDescent="0.35">
      <c r="A173" s="658"/>
      <c r="B173" s="659"/>
      <c r="C173" s="659"/>
      <c r="D173" s="660"/>
    </row>
    <row r="174" spans="1:4" x14ac:dyDescent="0.35">
      <c r="A174" s="663" t="s">
        <v>69</v>
      </c>
      <c r="B174" s="664"/>
      <c r="C174" s="664"/>
      <c r="D174" s="665"/>
    </row>
    <row r="175" spans="1:4" outlineLevel="1" x14ac:dyDescent="0.35">
      <c r="A175" s="658"/>
      <c r="B175" s="659"/>
      <c r="C175" s="659"/>
      <c r="D175" s="660"/>
    </row>
    <row r="176" spans="1:4" outlineLevel="1" x14ac:dyDescent="0.35">
      <c r="A176" s="64">
        <v>5</v>
      </c>
      <c r="B176" s="644" t="s">
        <v>250</v>
      </c>
      <c r="C176" s="645"/>
      <c r="D176" s="110" t="s">
        <v>35</v>
      </c>
    </row>
    <row r="177" spans="1:4" outlineLevel="1" x14ac:dyDescent="0.35">
      <c r="A177" s="111" t="s">
        <v>36</v>
      </c>
      <c r="B177" s="655" t="s">
        <v>343</v>
      </c>
      <c r="C177" s="656"/>
      <c r="D177" s="133">
        <f>INSUMOS!H12</f>
        <v>25.07</v>
      </c>
    </row>
    <row r="178" spans="1:4" outlineLevel="1" x14ac:dyDescent="0.35">
      <c r="A178" s="111" t="s">
        <v>16</v>
      </c>
      <c r="B178" s="655" t="s">
        <v>369</v>
      </c>
      <c r="C178" s="656"/>
      <c r="D178" s="151">
        <f>INSUMOS!H31</f>
        <v>19.34</v>
      </c>
    </row>
    <row r="179" spans="1:4" outlineLevel="1" x14ac:dyDescent="0.35">
      <c r="A179" s="111" t="s">
        <v>17</v>
      </c>
      <c r="B179" s="640" t="s">
        <v>326</v>
      </c>
      <c r="C179" s="642"/>
      <c r="D179" s="151">
        <f>MATERIAIS!H125</f>
        <v>415.59</v>
      </c>
    </row>
    <row r="180" spans="1:4" outlineLevel="1" x14ac:dyDescent="0.35">
      <c r="A180" s="111" t="s">
        <v>19</v>
      </c>
      <c r="B180" s="640" t="s">
        <v>325</v>
      </c>
      <c r="C180" s="642"/>
      <c r="D180" s="151">
        <f>EQUIPAMENTOS!I134</f>
        <v>9.41</v>
      </c>
    </row>
    <row r="181" spans="1:4" outlineLevel="1" x14ac:dyDescent="0.35">
      <c r="A181" s="111" t="s">
        <v>22</v>
      </c>
      <c r="B181" s="705" t="s">
        <v>39</v>
      </c>
      <c r="C181" s="706"/>
      <c r="D181" s="130">
        <v>0</v>
      </c>
    </row>
    <row r="182" spans="1:4" outlineLevel="1" x14ac:dyDescent="0.35">
      <c r="A182" s="111" t="s">
        <v>24</v>
      </c>
      <c r="B182" s="705" t="s">
        <v>39</v>
      </c>
      <c r="C182" s="706"/>
      <c r="D182" s="130">
        <v>0</v>
      </c>
    </row>
    <row r="183" spans="1:4" x14ac:dyDescent="0.35">
      <c r="A183" s="644" t="s">
        <v>11</v>
      </c>
      <c r="B183" s="657"/>
      <c r="C183" s="645"/>
      <c r="D183" s="116">
        <f>SUM(D177:D181)</f>
        <v>469.41</v>
      </c>
    </row>
    <row r="184" spans="1:4" x14ac:dyDescent="0.35">
      <c r="A184" s="646"/>
      <c r="B184" s="647"/>
      <c r="C184" s="647"/>
      <c r="D184" s="648"/>
    </row>
    <row r="185" spans="1:4" x14ac:dyDescent="0.35">
      <c r="A185" s="649" t="s">
        <v>70</v>
      </c>
      <c r="B185" s="649"/>
      <c r="C185" s="649"/>
      <c r="D185" s="152">
        <f>D39+D83+D126+D172+D183</f>
        <v>3543.9</v>
      </c>
    </row>
    <row r="186" spans="1:4" x14ac:dyDescent="0.35">
      <c r="A186" s="650"/>
      <c r="B186" s="650"/>
      <c r="C186" s="650"/>
      <c r="D186" s="650"/>
    </row>
    <row r="187" spans="1:4" x14ac:dyDescent="0.35">
      <c r="A187" s="651" t="s">
        <v>71</v>
      </c>
      <c r="B187" s="651"/>
      <c r="C187" s="651"/>
      <c r="D187" s="651"/>
    </row>
    <row r="188" spans="1:4" outlineLevel="1" x14ac:dyDescent="0.35">
      <c r="A188" s="652"/>
      <c r="B188" s="653"/>
      <c r="C188" s="653"/>
      <c r="D188" s="654"/>
    </row>
    <row r="189" spans="1:4" outlineLevel="1" x14ac:dyDescent="0.35">
      <c r="A189" s="64">
        <v>6</v>
      </c>
      <c r="B189" s="117" t="s">
        <v>72</v>
      </c>
      <c r="C189" s="110" t="s">
        <v>44</v>
      </c>
      <c r="D189" s="110" t="s">
        <v>35</v>
      </c>
    </row>
    <row r="190" spans="1:4" outlineLevel="1" x14ac:dyDescent="0.35">
      <c r="A190" s="111" t="s">
        <v>36</v>
      </c>
      <c r="B190" s="31" t="s">
        <v>73</v>
      </c>
      <c r="C190" s="70">
        <f>'SR - ASG int'!C189</f>
        <v>2.6499999999999999E-2</v>
      </c>
      <c r="D190" s="105">
        <f>C190*D185</f>
        <v>93.91</v>
      </c>
    </row>
    <row r="191" spans="1:4" outlineLevel="1" x14ac:dyDescent="0.35">
      <c r="A191" s="638" t="s">
        <v>1</v>
      </c>
      <c r="B191" s="639"/>
      <c r="C191" s="643"/>
      <c r="D191" s="105">
        <f>D185+D190</f>
        <v>3637.81</v>
      </c>
    </row>
    <row r="192" spans="1:4" outlineLevel="1" x14ac:dyDescent="0.35">
      <c r="A192" s="111" t="s">
        <v>16</v>
      </c>
      <c r="B192" s="31" t="s">
        <v>74</v>
      </c>
      <c r="C192" s="70">
        <f>'SR - ASG int'!C191</f>
        <v>0.1087</v>
      </c>
      <c r="D192" s="105">
        <f>C192*D191</f>
        <v>395.43</v>
      </c>
    </row>
    <row r="193" spans="1:4" outlineLevel="1" x14ac:dyDescent="0.35">
      <c r="A193" s="638" t="s">
        <v>1</v>
      </c>
      <c r="B193" s="639"/>
      <c r="C193" s="639"/>
      <c r="D193" s="105">
        <f>D192+D191</f>
        <v>4033.24</v>
      </c>
    </row>
    <row r="194" spans="1:4" outlineLevel="1" x14ac:dyDescent="0.35">
      <c r="A194" s="111" t="s">
        <v>17</v>
      </c>
      <c r="B194" s="640" t="s">
        <v>75</v>
      </c>
      <c r="C194" s="641"/>
      <c r="D194" s="642"/>
    </row>
    <row r="195" spans="1:4" outlineLevel="1" x14ac:dyDescent="0.35">
      <c r="A195" s="153"/>
      <c r="B195" s="63" t="s">
        <v>76</v>
      </c>
      <c r="C195" s="70">
        <v>6.4999999999999997E-3</v>
      </c>
      <c r="D195" s="105">
        <f>(D193/(1-C198)*C195)</f>
        <v>27.79</v>
      </c>
    </row>
    <row r="196" spans="1:4" outlineLevel="1" x14ac:dyDescent="0.35">
      <c r="A196" s="153"/>
      <c r="B196" s="63" t="s">
        <v>77</v>
      </c>
      <c r="C196" s="70">
        <v>0.03</v>
      </c>
      <c r="D196" s="105">
        <f>(D193/(1-C198)*C196)</f>
        <v>128.24</v>
      </c>
    </row>
    <row r="197" spans="1:4" outlineLevel="1" x14ac:dyDescent="0.35">
      <c r="A197" s="153"/>
      <c r="B197" s="63" t="s">
        <v>295</v>
      </c>
      <c r="C197" s="51">
        <v>0.02</v>
      </c>
      <c r="D197" s="105">
        <f>(D193/(1-C198)*C197)</f>
        <v>85.5</v>
      </c>
    </row>
    <row r="198" spans="1:4" outlineLevel="1" x14ac:dyDescent="0.35">
      <c r="A198" s="638" t="s">
        <v>78</v>
      </c>
      <c r="B198" s="643"/>
      <c r="C198" s="52">
        <f>SUM(C195:C197)</f>
        <v>5.6500000000000002E-2</v>
      </c>
      <c r="D198" s="105">
        <f>SUM(D195:D197)</f>
        <v>241.53</v>
      </c>
    </row>
    <row r="199" spans="1:4" x14ac:dyDescent="0.35">
      <c r="A199" s="644" t="s">
        <v>11</v>
      </c>
      <c r="B199" s="645"/>
      <c r="C199" s="53">
        <f>(1+C190)*(1+C192)*(1/(1-C198))-1</f>
        <v>0.20619999999999999</v>
      </c>
      <c r="D199" s="108">
        <f>SUM(D198+D190+D192)</f>
        <v>730.87</v>
      </c>
    </row>
    <row r="200" spans="1:4" x14ac:dyDescent="0.35">
      <c r="A200" s="646"/>
      <c r="B200" s="647"/>
      <c r="C200" s="647"/>
      <c r="D200" s="648"/>
    </row>
    <row r="201" spans="1:4" x14ac:dyDescent="0.35">
      <c r="A201" s="634" t="s">
        <v>79</v>
      </c>
      <c r="B201" s="635"/>
      <c r="C201" s="636"/>
      <c r="D201" s="54" t="s">
        <v>35</v>
      </c>
    </row>
    <row r="202" spans="1:4" x14ac:dyDescent="0.35">
      <c r="A202" s="632" t="s">
        <v>80</v>
      </c>
      <c r="B202" s="637"/>
      <c r="C202" s="637"/>
      <c r="D202" s="633"/>
    </row>
    <row r="203" spans="1:4" x14ac:dyDescent="0.35">
      <c r="A203" s="65" t="s">
        <v>36</v>
      </c>
      <c r="B203" s="632" t="s">
        <v>81</v>
      </c>
      <c r="C203" s="633"/>
      <c r="D203" s="104">
        <f>D39</f>
        <v>1457.5</v>
      </c>
    </row>
    <row r="204" spans="1:4" x14ac:dyDescent="0.35">
      <c r="A204" s="65" t="s">
        <v>16</v>
      </c>
      <c r="B204" s="632" t="s">
        <v>82</v>
      </c>
      <c r="C204" s="633"/>
      <c r="D204" s="104">
        <f>D83</f>
        <v>1217.79</v>
      </c>
    </row>
    <row r="205" spans="1:4" x14ac:dyDescent="0.35">
      <c r="A205" s="65" t="s">
        <v>17</v>
      </c>
      <c r="B205" s="632" t="s">
        <v>83</v>
      </c>
      <c r="C205" s="633"/>
      <c r="D205" s="104">
        <f>D126</f>
        <v>120.55</v>
      </c>
    </row>
    <row r="206" spans="1:4" x14ac:dyDescent="0.35">
      <c r="A206" s="65" t="s">
        <v>19</v>
      </c>
      <c r="B206" s="632" t="s">
        <v>84</v>
      </c>
      <c r="C206" s="633"/>
      <c r="D206" s="104">
        <f>D172</f>
        <v>278.64999999999998</v>
      </c>
    </row>
    <row r="207" spans="1:4" x14ac:dyDescent="0.35">
      <c r="A207" s="65" t="s">
        <v>22</v>
      </c>
      <c r="B207" s="632" t="s">
        <v>85</v>
      </c>
      <c r="C207" s="633"/>
      <c r="D207" s="104">
        <f>D183</f>
        <v>469.41</v>
      </c>
    </row>
    <row r="208" spans="1:4" x14ac:dyDescent="0.4">
      <c r="A208" s="629" t="s">
        <v>86</v>
      </c>
      <c r="B208" s="630"/>
      <c r="C208" s="631"/>
      <c r="D208" s="104">
        <f>SUM(D203:D207)</f>
        <v>3543.9</v>
      </c>
    </row>
    <row r="209" spans="1:4" x14ac:dyDescent="0.35">
      <c r="A209" s="65" t="s">
        <v>87</v>
      </c>
      <c r="B209" s="632" t="s">
        <v>88</v>
      </c>
      <c r="C209" s="633"/>
      <c r="D209" s="104">
        <f>D199</f>
        <v>730.87</v>
      </c>
    </row>
    <row r="210" spans="1:4" x14ac:dyDescent="0.35">
      <c r="A210" s="634" t="s">
        <v>89</v>
      </c>
      <c r="B210" s="635"/>
      <c r="C210" s="636"/>
      <c r="D210" s="154">
        <f xml:space="preserve"> D208+D209</f>
        <v>4274.7700000000004</v>
      </c>
    </row>
    <row r="211" spans="1:4" x14ac:dyDescent="0.4">
      <c r="A211" s="24"/>
      <c r="B211" s="24"/>
      <c r="C211" s="24"/>
      <c r="D211" s="24"/>
    </row>
    <row r="212" spans="1:4" thickBot="1" x14ac:dyDescent="0.4">
      <c r="A212" s="17"/>
      <c r="B212" s="17"/>
      <c r="C212" s="17"/>
      <c r="D212" s="17"/>
    </row>
    <row r="213" spans="1:4" x14ac:dyDescent="0.35">
      <c r="A213" s="702" t="s">
        <v>274</v>
      </c>
      <c r="B213" s="703"/>
      <c r="C213" s="703"/>
      <c r="D213" s="704"/>
    </row>
    <row r="214" spans="1:4" ht="30" x14ac:dyDescent="0.35">
      <c r="A214" s="170" t="s">
        <v>275</v>
      </c>
      <c r="B214" s="171" t="s">
        <v>278</v>
      </c>
      <c r="C214" s="172" t="s">
        <v>276</v>
      </c>
      <c r="D214" s="173" t="s">
        <v>277</v>
      </c>
    </row>
    <row r="215" spans="1:4" ht="15.5" thickBot="1" x14ac:dyDescent="0.4">
      <c r="A215" s="174">
        <v>2</v>
      </c>
      <c r="B215" s="178">
        <f>1/(C11/A215)</f>
        <v>1.6507643039000001E-3</v>
      </c>
      <c r="C215" s="175">
        <f>D210</f>
        <v>4274.7700000000004</v>
      </c>
      <c r="D215" s="181">
        <f>C215*B215</f>
        <v>7.0566377229999997</v>
      </c>
    </row>
  </sheetData>
  <mergeCells count="108">
    <mergeCell ref="A213:D213"/>
    <mergeCell ref="B180:C180"/>
    <mergeCell ref="B181:C181"/>
    <mergeCell ref="A5:D5"/>
    <mergeCell ref="C6:D6"/>
    <mergeCell ref="C7:D7"/>
    <mergeCell ref="C8:D8"/>
    <mergeCell ref="C9:D9"/>
    <mergeCell ref="C10:D10"/>
    <mergeCell ref="B20:C20"/>
    <mergeCell ref="B21:C21"/>
    <mergeCell ref="B22:C22"/>
    <mergeCell ref="A45:B45"/>
    <mergeCell ref="A46:D46"/>
    <mergeCell ref="A47:D47"/>
    <mergeCell ref="A48:D48"/>
    <mergeCell ref="A52:B52"/>
    <mergeCell ref="A53:D53"/>
    <mergeCell ref="A23:D23"/>
    <mergeCell ref="A24:D24"/>
    <mergeCell ref="A25:D25"/>
    <mergeCell ref="B26:C26"/>
    <mergeCell ref="A39:C39"/>
    <mergeCell ref="A40:D40"/>
    <mergeCell ref="A1:D1"/>
    <mergeCell ref="A2:B2"/>
    <mergeCell ref="C2:D2"/>
    <mergeCell ref="A3:B3"/>
    <mergeCell ref="C3:D3"/>
    <mergeCell ref="A4:D4"/>
    <mergeCell ref="C17:D17"/>
    <mergeCell ref="A18:D18"/>
    <mergeCell ref="B19:C19"/>
    <mergeCell ref="C11:D11"/>
    <mergeCell ref="C12:D12"/>
    <mergeCell ref="A13:D13"/>
    <mergeCell ref="A14:D14"/>
    <mergeCell ref="A15:D15"/>
    <mergeCell ref="C16:D16"/>
    <mergeCell ref="A84:D84"/>
    <mergeCell ref="A85:D85"/>
    <mergeCell ref="A86:D86"/>
    <mergeCell ref="A99:B99"/>
    <mergeCell ref="A100:D100"/>
    <mergeCell ref="A111:B111"/>
    <mergeCell ref="A63:B63"/>
    <mergeCell ref="A64:D64"/>
    <mergeCell ref="A77:C77"/>
    <mergeCell ref="A78:D78"/>
    <mergeCell ref="A79:B79"/>
    <mergeCell ref="A83:C83"/>
    <mergeCell ref="A123:B123"/>
    <mergeCell ref="A124:B124"/>
    <mergeCell ref="A126:B126"/>
    <mergeCell ref="A127:D127"/>
    <mergeCell ref="A128:D128"/>
    <mergeCell ref="A129:D129"/>
    <mergeCell ref="A112:D112"/>
    <mergeCell ref="A116:B116"/>
    <mergeCell ref="A117:D117"/>
    <mergeCell ref="A118:B118"/>
    <mergeCell ref="A121:C121"/>
    <mergeCell ref="A122:B122"/>
    <mergeCell ref="A155:D155"/>
    <mergeCell ref="A156:B156"/>
    <mergeCell ref="A157:A164"/>
    <mergeCell ref="A165:B165"/>
    <mergeCell ref="A166:D166"/>
    <mergeCell ref="A167:B167"/>
    <mergeCell ref="A138:B138"/>
    <mergeCell ref="A139:D139"/>
    <mergeCell ref="A140:A144"/>
    <mergeCell ref="A145:B145"/>
    <mergeCell ref="A146:D146"/>
    <mergeCell ref="A154:B154"/>
    <mergeCell ref="B176:C176"/>
    <mergeCell ref="B177:C177"/>
    <mergeCell ref="B178:C178"/>
    <mergeCell ref="B179:C179"/>
    <mergeCell ref="B182:C182"/>
    <mergeCell ref="A183:C183"/>
    <mergeCell ref="A168:D168"/>
    <mergeCell ref="A169:B169"/>
    <mergeCell ref="A172:C172"/>
    <mergeCell ref="A173:D173"/>
    <mergeCell ref="A174:D174"/>
    <mergeCell ref="A175:D175"/>
    <mergeCell ref="A193:C193"/>
    <mergeCell ref="B194:D194"/>
    <mergeCell ref="A198:B198"/>
    <mergeCell ref="A199:B199"/>
    <mergeCell ref="A200:D200"/>
    <mergeCell ref="A201:C201"/>
    <mergeCell ref="A184:D184"/>
    <mergeCell ref="A185:C185"/>
    <mergeCell ref="A186:D186"/>
    <mergeCell ref="A187:D187"/>
    <mergeCell ref="A188:D188"/>
    <mergeCell ref="A191:C191"/>
    <mergeCell ref="A208:C208"/>
    <mergeCell ref="B209:C209"/>
    <mergeCell ref="A210:C210"/>
    <mergeCell ref="A202:D202"/>
    <mergeCell ref="B203:C203"/>
    <mergeCell ref="B204:C204"/>
    <mergeCell ref="B205:C205"/>
    <mergeCell ref="B206:C206"/>
    <mergeCell ref="B207:C207"/>
  </mergeCells>
  <pageMargins left="0.51181102362204722" right="0.51181102362204722" top="0.78740157480314965" bottom="0.78740157480314965" header="0.31496062992125984" footer="0.31496062992125984"/>
  <pageSetup scale="21" orientation="portrait" horizontalDpi="3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F08C15-DC39-4631-8C45-7198BA857720}">
  <sheetPr>
    <pageSetUpPr fitToPage="1"/>
  </sheetPr>
  <dimension ref="A1:D215"/>
  <sheetViews>
    <sheetView view="pageBreakPreview" topLeftCell="A188" zoomScale="85" zoomScaleNormal="85" zoomScaleSheetLayoutView="85" workbookViewId="0">
      <selection activeCell="D67" sqref="D67"/>
    </sheetView>
  </sheetViews>
  <sheetFormatPr defaultColWidth="9.1796875" defaultRowHeight="15" customHeight="1" outlineLevelRow="3" x14ac:dyDescent="0.35"/>
  <cols>
    <col min="1" max="1" width="16.7265625" customWidth="1"/>
    <col min="2" max="2" width="76.81640625" customWidth="1"/>
    <col min="3" max="3" width="22.81640625" customWidth="1"/>
    <col min="4" max="4" width="23.54296875" customWidth="1"/>
  </cols>
  <sheetData>
    <row r="1" spans="1:4" x14ac:dyDescent="0.35">
      <c r="A1" s="683" t="s">
        <v>6</v>
      </c>
      <c r="B1" s="683"/>
      <c r="C1" s="683"/>
      <c r="D1" s="683"/>
    </row>
    <row r="2" spans="1:4" x14ac:dyDescent="0.35">
      <c r="A2" s="684" t="s">
        <v>12</v>
      </c>
      <c r="B2" s="684"/>
      <c r="C2" s="685" t="s">
        <v>521</v>
      </c>
      <c r="D2" s="686"/>
    </row>
    <row r="3" spans="1:4" x14ac:dyDescent="0.35">
      <c r="A3" s="684" t="s">
        <v>13</v>
      </c>
      <c r="B3" s="684"/>
      <c r="C3" s="685" t="s">
        <v>270</v>
      </c>
      <c r="D3" s="686"/>
    </row>
    <row r="4" spans="1:4" x14ac:dyDescent="0.35">
      <c r="A4" s="687"/>
      <c r="B4" s="687"/>
      <c r="C4" s="687"/>
      <c r="D4" s="687"/>
    </row>
    <row r="5" spans="1:4" x14ac:dyDescent="0.35">
      <c r="A5" s="687" t="s">
        <v>14</v>
      </c>
      <c r="B5" s="687"/>
      <c r="C5" s="687"/>
      <c r="D5" s="687"/>
    </row>
    <row r="6" spans="1:4" x14ac:dyDescent="0.35">
      <c r="A6" s="65" t="s">
        <v>15</v>
      </c>
      <c r="B6" s="63" t="s">
        <v>5</v>
      </c>
      <c r="C6" s="707" t="s">
        <v>144</v>
      </c>
      <c r="D6" s="708"/>
    </row>
    <row r="7" spans="1:4" x14ac:dyDescent="0.35">
      <c r="A7" s="65" t="s">
        <v>16</v>
      </c>
      <c r="B7" s="63" t="s">
        <v>4</v>
      </c>
      <c r="C7" s="690" t="s">
        <v>502</v>
      </c>
      <c r="D7" s="690"/>
    </row>
    <row r="8" spans="1:4" x14ac:dyDescent="0.35">
      <c r="A8" s="25" t="s">
        <v>17</v>
      </c>
      <c r="B8" s="26" t="s">
        <v>18</v>
      </c>
      <c r="C8" s="722" t="s">
        <v>299</v>
      </c>
      <c r="D8" s="723"/>
    </row>
    <row r="9" spans="1:4" x14ac:dyDescent="0.35">
      <c r="A9" s="65" t="s">
        <v>19</v>
      </c>
      <c r="B9" s="63" t="s">
        <v>20</v>
      </c>
      <c r="C9" s="700" t="s">
        <v>21</v>
      </c>
      <c r="D9" s="701"/>
    </row>
    <row r="10" spans="1:4" x14ac:dyDescent="0.35">
      <c r="A10" s="65" t="s">
        <v>22</v>
      </c>
      <c r="B10" s="63" t="s">
        <v>23</v>
      </c>
      <c r="C10" s="700" t="s">
        <v>262</v>
      </c>
      <c r="D10" s="701"/>
    </row>
    <row r="11" spans="1:4" x14ac:dyDescent="0.35">
      <c r="A11" s="65" t="s">
        <v>24</v>
      </c>
      <c r="B11" s="63" t="s">
        <v>251</v>
      </c>
      <c r="C11" s="691">
        <f>Resumo!F11/2</f>
        <v>1211.56</v>
      </c>
      <c r="D11" s="692"/>
    </row>
    <row r="12" spans="1:4" x14ac:dyDescent="0.35">
      <c r="A12" s="65" t="s">
        <v>25</v>
      </c>
      <c r="B12" s="63" t="s">
        <v>26</v>
      </c>
      <c r="C12" s="693">
        <f>Resumo!I5</f>
        <v>20</v>
      </c>
      <c r="D12" s="694"/>
    </row>
    <row r="13" spans="1:4" x14ac:dyDescent="0.35">
      <c r="A13" s="695"/>
      <c r="B13" s="696"/>
      <c r="C13" s="696"/>
      <c r="D13" s="696"/>
    </row>
    <row r="14" spans="1:4" x14ac:dyDescent="0.35">
      <c r="A14" s="697" t="s">
        <v>27</v>
      </c>
      <c r="B14" s="698"/>
      <c r="C14" s="698"/>
      <c r="D14" s="699"/>
    </row>
    <row r="15" spans="1:4" x14ac:dyDescent="0.35">
      <c r="A15" s="690" t="s">
        <v>28</v>
      </c>
      <c r="B15" s="690"/>
      <c r="C15" s="690"/>
      <c r="D15" s="690"/>
    </row>
    <row r="16" spans="1:4" x14ac:dyDescent="0.35">
      <c r="A16" s="65">
        <v>1</v>
      </c>
      <c r="B16" s="63" t="s">
        <v>29</v>
      </c>
      <c r="C16" s="700" t="s">
        <v>266</v>
      </c>
      <c r="D16" s="701" t="s">
        <v>0</v>
      </c>
    </row>
    <row r="17" spans="1:4" x14ac:dyDescent="0.35">
      <c r="A17" s="65">
        <v>2</v>
      </c>
      <c r="B17" s="27" t="s">
        <v>30</v>
      </c>
      <c r="C17" s="688" t="s">
        <v>263</v>
      </c>
      <c r="D17" s="689"/>
    </row>
    <row r="18" spans="1:4" x14ac:dyDescent="0.35">
      <c r="A18" s="690" t="s">
        <v>31</v>
      </c>
      <c r="B18" s="690"/>
      <c r="C18" s="690"/>
      <c r="D18" s="690"/>
    </row>
    <row r="19" spans="1:4" x14ac:dyDescent="0.4">
      <c r="A19" s="65">
        <v>3</v>
      </c>
      <c r="B19" s="632" t="s">
        <v>3</v>
      </c>
      <c r="C19" s="633"/>
      <c r="D19" s="103">
        <v>1325</v>
      </c>
    </row>
    <row r="20" spans="1:4" x14ac:dyDescent="0.4">
      <c r="A20" s="65">
        <v>4</v>
      </c>
      <c r="B20" s="632" t="s">
        <v>252</v>
      </c>
      <c r="C20" s="633"/>
      <c r="D20" s="155">
        <v>220</v>
      </c>
    </row>
    <row r="21" spans="1:4" x14ac:dyDescent="0.35">
      <c r="A21" s="65">
        <v>5</v>
      </c>
      <c r="B21" s="632" t="s">
        <v>32</v>
      </c>
      <c r="C21" s="633"/>
      <c r="D21" s="73" t="s">
        <v>267</v>
      </c>
    </row>
    <row r="22" spans="1:4" x14ac:dyDescent="0.35">
      <c r="A22" s="65">
        <v>6</v>
      </c>
      <c r="B22" s="632" t="s">
        <v>2</v>
      </c>
      <c r="C22" s="633"/>
      <c r="D22" s="74">
        <v>44562</v>
      </c>
    </row>
    <row r="23" spans="1:4" x14ac:dyDescent="0.35">
      <c r="A23" s="700"/>
      <c r="B23" s="711"/>
      <c r="C23" s="711"/>
      <c r="D23" s="701"/>
    </row>
    <row r="24" spans="1:4" x14ac:dyDescent="0.35">
      <c r="A24" s="712" t="s">
        <v>33</v>
      </c>
      <c r="B24" s="712"/>
      <c r="C24" s="712"/>
      <c r="D24" s="712"/>
    </row>
    <row r="25" spans="1:4" x14ac:dyDescent="0.35">
      <c r="A25" s="713"/>
      <c r="B25" s="714"/>
      <c r="C25" s="714"/>
      <c r="D25" s="694"/>
    </row>
    <row r="26" spans="1:4" x14ac:dyDescent="0.35">
      <c r="A26" s="64">
        <v>1</v>
      </c>
      <c r="B26" s="634" t="s">
        <v>34</v>
      </c>
      <c r="C26" s="636"/>
      <c r="D26" s="64" t="s">
        <v>35</v>
      </c>
    </row>
    <row r="27" spans="1:4" outlineLevel="1" x14ac:dyDescent="0.35">
      <c r="A27" s="65" t="s">
        <v>36</v>
      </c>
      <c r="B27" s="63" t="s">
        <v>146</v>
      </c>
      <c r="C27" s="71">
        <f>'SR - ASG int'!C27</f>
        <v>220</v>
      </c>
      <c r="D27" s="104">
        <f>D19/220*C27</f>
        <v>1325</v>
      </c>
    </row>
    <row r="28" spans="1:4" outlineLevel="1" x14ac:dyDescent="0.35">
      <c r="A28" s="65" t="s">
        <v>16</v>
      </c>
      <c r="B28" s="63" t="s">
        <v>147</v>
      </c>
      <c r="C28" s="28">
        <v>0.1</v>
      </c>
      <c r="D28" s="104">
        <f>D27*10%</f>
        <v>132.5</v>
      </c>
    </row>
    <row r="29" spans="1:4" outlineLevel="1" x14ac:dyDescent="0.35">
      <c r="A29" s="65" t="s">
        <v>17</v>
      </c>
      <c r="B29" s="63" t="s">
        <v>38</v>
      </c>
      <c r="C29" s="28">
        <v>0.4</v>
      </c>
      <c r="D29" s="104">
        <v>0</v>
      </c>
    </row>
    <row r="30" spans="1:4" outlineLevel="1" x14ac:dyDescent="0.35">
      <c r="A30" s="65" t="s">
        <v>19</v>
      </c>
      <c r="B30" s="63" t="s">
        <v>148</v>
      </c>
      <c r="C30" s="156">
        <v>0</v>
      </c>
      <c r="D30" s="105">
        <f>SUM(D31:D32)</f>
        <v>0</v>
      </c>
    </row>
    <row r="31" spans="1:4" outlineLevel="2" x14ac:dyDescent="0.35">
      <c r="A31" s="78" t="s">
        <v>111</v>
      </c>
      <c r="B31" s="63" t="s">
        <v>149</v>
      </c>
      <c r="C31" s="79">
        <v>0.2</v>
      </c>
      <c r="D31" s="105">
        <f>(SUM(D27:D29)/C27)*C31*15*C30</f>
        <v>0</v>
      </c>
    </row>
    <row r="32" spans="1:4" outlineLevel="2" x14ac:dyDescent="0.35">
      <c r="A32" s="78" t="s">
        <v>112</v>
      </c>
      <c r="B32" s="63" t="s">
        <v>150</v>
      </c>
      <c r="C32" s="80">
        <f>C30*(60/52.5)/8</f>
        <v>0</v>
      </c>
      <c r="D32" s="105">
        <f>(SUM(D27:D29)/C27)*(C31)*15*C32</f>
        <v>0</v>
      </c>
    </row>
    <row r="33" spans="1:4" outlineLevel="1" x14ac:dyDescent="0.35">
      <c r="A33" s="65" t="s">
        <v>22</v>
      </c>
      <c r="B33" s="63" t="s">
        <v>151</v>
      </c>
      <c r="C33" s="28" t="s">
        <v>152</v>
      </c>
      <c r="D33" s="1">
        <f>SUM(D34:D37)</f>
        <v>0</v>
      </c>
    </row>
    <row r="34" spans="1:4" outlineLevel="2" x14ac:dyDescent="0.35">
      <c r="A34" s="81" t="s">
        <v>153</v>
      </c>
      <c r="B34" s="82" t="s">
        <v>154</v>
      </c>
      <c r="C34" s="83">
        <v>0</v>
      </c>
      <c r="D34" s="106">
        <f>(SUM($D$27:$D$29)/$C$27)*C34*1.5</f>
        <v>0</v>
      </c>
    </row>
    <row r="35" spans="1:4" outlineLevel="2" x14ac:dyDescent="0.35">
      <c r="A35" s="81" t="s">
        <v>155</v>
      </c>
      <c r="B35" s="84" t="s">
        <v>156</v>
      </c>
      <c r="C35" s="85">
        <v>0</v>
      </c>
      <c r="D35" s="106">
        <f>(SUM($D$27:$D$29)/$C$27)*C35*((60/52.5)*1.2*1.5)</f>
        <v>0</v>
      </c>
    </row>
    <row r="36" spans="1:4" outlineLevel="2" x14ac:dyDescent="0.35">
      <c r="A36" s="81" t="s">
        <v>157</v>
      </c>
      <c r="B36" s="82" t="s">
        <v>158</v>
      </c>
      <c r="C36" s="86">
        <f>C34*0.1429</f>
        <v>0</v>
      </c>
      <c r="D36" s="106">
        <f>(SUM($D$27:$D$29)/$C$27)*C36*2</f>
        <v>0</v>
      </c>
    </row>
    <row r="37" spans="1:4" outlineLevel="2" x14ac:dyDescent="0.35">
      <c r="A37" s="81" t="s">
        <v>159</v>
      </c>
      <c r="B37" s="82" t="s">
        <v>160</v>
      </c>
      <c r="C37" s="86">
        <f>C34*0.1429</f>
        <v>0</v>
      </c>
      <c r="D37" s="106">
        <f>(SUM($D$27:$D$29)/$C$27)*C37*((60/52.5)*1.2*2)</f>
        <v>0</v>
      </c>
    </row>
    <row r="38" spans="1:4" outlineLevel="1" x14ac:dyDescent="0.35">
      <c r="A38" s="65" t="s">
        <v>24</v>
      </c>
      <c r="B38" s="55" t="s">
        <v>525</v>
      </c>
      <c r="C38" s="56">
        <v>0</v>
      </c>
      <c r="D38" s="107">
        <v>58.67</v>
      </c>
    </row>
    <row r="39" spans="1:4" x14ac:dyDescent="0.35">
      <c r="A39" s="634" t="s">
        <v>40</v>
      </c>
      <c r="B39" s="635"/>
      <c r="C39" s="636"/>
      <c r="D39" s="108">
        <f>SUM(D27:D30,D33,D38)</f>
        <v>1516.17</v>
      </c>
    </row>
    <row r="40" spans="1:4" x14ac:dyDescent="0.35">
      <c r="A40" s="650"/>
      <c r="B40" s="650"/>
      <c r="C40" s="650"/>
      <c r="D40" s="650"/>
    </row>
    <row r="41" spans="1:4" outlineLevel="1" x14ac:dyDescent="0.35">
      <c r="A41" s="87" t="s">
        <v>161</v>
      </c>
      <c r="B41" s="109" t="s">
        <v>162</v>
      </c>
      <c r="C41" s="110" t="s">
        <v>163</v>
      </c>
      <c r="D41" s="110" t="s">
        <v>35</v>
      </c>
    </row>
    <row r="42" spans="1:4" outlineLevel="1" x14ac:dyDescent="0.35">
      <c r="A42" s="111" t="s">
        <v>36</v>
      </c>
      <c r="B42" s="27" t="s">
        <v>164</v>
      </c>
      <c r="C42" s="88">
        <v>0</v>
      </c>
      <c r="D42" s="112">
        <f>(SUM(D27)/$C$27)*C42*1.5</f>
        <v>0</v>
      </c>
    </row>
    <row r="43" spans="1:4" outlineLevel="1" x14ac:dyDescent="0.35">
      <c r="A43" s="113" t="s">
        <v>17</v>
      </c>
      <c r="B43" s="114" t="s">
        <v>165</v>
      </c>
      <c r="C43" s="115">
        <v>0</v>
      </c>
      <c r="D43" s="104">
        <f>C43*177</f>
        <v>0</v>
      </c>
    </row>
    <row r="44" spans="1:4" outlineLevel="1" x14ac:dyDescent="0.35">
      <c r="A44" s="65" t="s">
        <v>19</v>
      </c>
      <c r="B44" s="55" t="s">
        <v>39</v>
      </c>
      <c r="C44" s="56">
        <v>0</v>
      </c>
      <c r="D44" s="107">
        <v>0</v>
      </c>
    </row>
    <row r="45" spans="1:4" x14ac:dyDescent="0.35">
      <c r="A45" s="644" t="s">
        <v>166</v>
      </c>
      <c r="B45" s="645"/>
      <c r="C45" s="30">
        <f>D45/D39</f>
        <v>0</v>
      </c>
      <c r="D45" s="116">
        <f>SUM(D42:D43)</f>
        <v>0</v>
      </c>
    </row>
    <row r="46" spans="1:4" x14ac:dyDescent="0.35">
      <c r="A46" s="646"/>
      <c r="B46" s="647"/>
      <c r="C46" s="647"/>
      <c r="D46" s="648"/>
    </row>
    <row r="47" spans="1:4" x14ac:dyDescent="0.35">
      <c r="A47" s="663" t="s">
        <v>41</v>
      </c>
      <c r="B47" s="664"/>
      <c r="C47" s="664"/>
      <c r="D47" s="665"/>
    </row>
    <row r="48" spans="1:4" outlineLevel="1" x14ac:dyDescent="0.35">
      <c r="A48" s="646"/>
      <c r="B48" s="647"/>
      <c r="C48" s="647"/>
      <c r="D48" s="648"/>
    </row>
    <row r="49" spans="1:4" outlineLevel="1" x14ac:dyDescent="0.35">
      <c r="A49" s="110" t="s">
        <v>42</v>
      </c>
      <c r="B49" s="109" t="s">
        <v>43</v>
      </c>
      <c r="C49" s="110" t="s">
        <v>44</v>
      </c>
      <c r="D49" s="110" t="s">
        <v>35</v>
      </c>
    </row>
    <row r="50" spans="1:4" outlineLevel="2" x14ac:dyDescent="0.35">
      <c r="A50" s="113" t="s">
        <v>36</v>
      </c>
      <c r="B50" s="114" t="s">
        <v>45</v>
      </c>
      <c r="C50" s="29">
        <f>1/12</f>
        <v>8.3299999999999999E-2</v>
      </c>
      <c r="D50" s="104">
        <f>C50*D39</f>
        <v>126.3</v>
      </c>
    </row>
    <row r="51" spans="1:4" outlineLevel="2" x14ac:dyDescent="0.35">
      <c r="A51" s="113" t="s">
        <v>16</v>
      </c>
      <c r="B51" s="114" t="s">
        <v>113</v>
      </c>
      <c r="C51" s="29">
        <f>IF(C12&gt;60,(1/C12/3)*5,IF(C12&gt;48,(1/C12/3)*4,IF(C12&gt;36,(1/C12/3)*3,IF(C12&gt;24,(1/C12/3)*2,IF(C12&gt;12,(1/C12/3)*1,0)))))</f>
        <v>1.67E-2</v>
      </c>
      <c r="D51" s="104">
        <f>C51*D39</f>
        <v>25.32</v>
      </c>
    </row>
    <row r="52" spans="1:4" outlineLevel="1" x14ac:dyDescent="0.35">
      <c r="A52" s="644" t="s">
        <v>11</v>
      </c>
      <c r="B52" s="645"/>
      <c r="C52" s="30">
        <f>SUM(C50:C51)</f>
        <v>0.1</v>
      </c>
      <c r="D52" s="116">
        <f>SUM(D50:D51)</f>
        <v>151.62</v>
      </c>
    </row>
    <row r="53" spans="1:4" outlineLevel="1" x14ac:dyDescent="0.35">
      <c r="A53" s="646"/>
      <c r="B53" s="647"/>
      <c r="C53" s="647"/>
      <c r="D53" s="648"/>
    </row>
    <row r="54" spans="1:4" outlineLevel="1" x14ac:dyDescent="0.35">
      <c r="A54" s="110" t="s">
        <v>46</v>
      </c>
      <c r="B54" s="117" t="s">
        <v>47</v>
      </c>
      <c r="C54" s="110" t="s">
        <v>44</v>
      </c>
      <c r="D54" s="118" t="s">
        <v>35</v>
      </c>
    </row>
    <row r="55" spans="1:4" outlineLevel="2" x14ac:dyDescent="0.35">
      <c r="A55" s="111" t="s">
        <v>36</v>
      </c>
      <c r="B55" s="31" t="s">
        <v>48</v>
      </c>
      <c r="C55" s="32">
        <v>0.2</v>
      </c>
      <c r="D55" s="104">
        <f t="shared" ref="D55:D62" si="0">C55*($D$39+$D$52)</f>
        <v>333.56</v>
      </c>
    </row>
    <row r="56" spans="1:4" outlineLevel="2" x14ac:dyDescent="0.35">
      <c r="A56" s="111" t="s">
        <v>16</v>
      </c>
      <c r="B56" s="31" t="s">
        <v>49</v>
      </c>
      <c r="C56" s="32">
        <v>2.5000000000000001E-2</v>
      </c>
      <c r="D56" s="104">
        <f t="shared" si="0"/>
        <v>41.69</v>
      </c>
    </row>
    <row r="57" spans="1:4" outlineLevel="2" x14ac:dyDescent="0.35">
      <c r="A57" s="111" t="s">
        <v>17</v>
      </c>
      <c r="B57" s="31" t="s">
        <v>167</v>
      </c>
      <c r="C57" s="66">
        <v>0.03</v>
      </c>
      <c r="D57" s="104">
        <f t="shared" si="0"/>
        <v>50.03</v>
      </c>
    </row>
    <row r="58" spans="1:4" outlineLevel="2" x14ac:dyDescent="0.35">
      <c r="A58" s="111" t="s">
        <v>19</v>
      </c>
      <c r="B58" s="31" t="s">
        <v>168</v>
      </c>
      <c r="C58" s="32">
        <v>1.4999999999999999E-2</v>
      </c>
      <c r="D58" s="104">
        <f t="shared" si="0"/>
        <v>25.02</v>
      </c>
    </row>
    <row r="59" spans="1:4" outlineLevel="2" x14ac:dyDescent="0.35">
      <c r="A59" s="111" t="s">
        <v>22</v>
      </c>
      <c r="B59" s="31" t="s">
        <v>169</v>
      </c>
      <c r="C59" s="32">
        <v>0.01</v>
      </c>
      <c r="D59" s="104">
        <f t="shared" si="0"/>
        <v>16.68</v>
      </c>
    </row>
    <row r="60" spans="1:4" outlineLevel="2" x14ac:dyDescent="0.35">
      <c r="A60" s="111" t="s">
        <v>24</v>
      </c>
      <c r="B60" s="31" t="s">
        <v>50</v>
      </c>
      <c r="C60" s="32">
        <v>6.0000000000000001E-3</v>
      </c>
      <c r="D60" s="104">
        <f t="shared" si="0"/>
        <v>10.01</v>
      </c>
    </row>
    <row r="61" spans="1:4" outlineLevel="2" x14ac:dyDescent="0.35">
      <c r="A61" s="111" t="s">
        <v>25</v>
      </c>
      <c r="B61" s="31" t="s">
        <v>51</v>
      </c>
      <c r="C61" s="32">
        <v>2E-3</v>
      </c>
      <c r="D61" s="104">
        <f t="shared" si="0"/>
        <v>3.34</v>
      </c>
    </row>
    <row r="62" spans="1:4" outlineLevel="2" x14ac:dyDescent="0.35">
      <c r="A62" s="111" t="s">
        <v>52</v>
      </c>
      <c r="B62" s="31" t="s">
        <v>53</v>
      </c>
      <c r="C62" s="32">
        <v>0.08</v>
      </c>
      <c r="D62" s="104">
        <f t="shared" si="0"/>
        <v>133.41999999999999</v>
      </c>
    </row>
    <row r="63" spans="1:4" outlineLevel="1" x14ac:dyDescent="0.35">
      <c r="A63" s="644" t="s">
        <v>11</v>
      </c>
      <c r="B63" s="645"/>
      <c r="C63" s="33">
        <f>SUM(C55:C62)</f>
        <v>0.36799999999999999</v>
      </c>
      <c r="D63" s="119">
        <f>SUM(D55:D62)</f>
        <v>613.75</v>
      </c>
    </row>
    <row r="64" spans="1:4" outlineLevel="1" x14ac:dyDescent="0.35">
      <c r="A64" s="646"/>
      <c r="B64" s="647"/>
      <c r="C64" s="647"/>
      <c r="D64" s="648"/>
    </row>
    <row r="65" spans="1:4" outlineLevel="1" x14ac:dyDescent="0.35">
      <c r="A65" s="110" t="s">
        <v>54</v>
      </c>
      <c r="B65" s="117" t="s">
        <v>55</v>
      </c>
      <c r="C65" s="110" t="s">
        <v>56</v>
      </c>
      <c r="D65" s="110" t="s">
        <v>35</v>
      </c>
    </row>
    <row r="66" spans="1:4" outlineLevel="2" x14ac:dyDescent="0.35">
      <c r="A66" s="111" t="s">
        <v>36</v>
      </c>
      <c r="B66" s="31" t="s">
        <v>57</v>
      </c>
      <c r="C66" s="120">
        <f>DRS!C66</f>
        <v>3.25</v>
      </c>
      <c r="D66" s="121">
        <f>IF(D67+D68&gt;0,(D67+D68),0)</f>
        <v>63.5</v>
      </c>
    </row>
    <row r="67" spans="1:4" outlineLevel="3" x14ac:dyDescent="0.35">
      <c r="A67" s="122" t="s">
        <v>110</v>
      </c>
      <c r="B67" s="31" t="s">
        <v>170</v>
      </c>
      <c r="C67" s="123">
        <v>22</v>
      </c>
      <c r="D67" s="124">
        <f>C66*C67*2</f>
        <v>143</v>
      </c>
    </row>
    <row r="68" spans="1:4" outlineLevel="3" x14ac:dyDescent="0.35">
      <c r="A68" s="122" t="s">
        <v>114</v>
      </c>
      <c r="B68" s="31" t="s">
        <v>171</v>
      </c>
      <c r="C68" s="125">
        <v>0.06</v>
      </c>
      <c r="D68" s="124">
        <f>-D27*C68</f>
        <v>-79.5</v>
      </c>
    </row>
    <row r="69" spans="1:4" outlineLevel="2" x14ac:dyDescent="0.35">
      <c r="A69" s="111" t="s">
        <v>16</v>
      </c>
      <c r="B69" s="31" t="s">
        <v>58</v>
      </c>
      <c r="C69" s="382">
        <f>290/22</f>
        <v>13.182</v>
      </c>
      <c r="D69" s="121">
        <f>D70+D71</f>
        <v>290</v>
      </c>
    </row>
    <row r="70" spans="1:4" outlineLevel="3" x14ac:dyDescent="0.35">
      <c r="A70" s="122" t="s">
        <v>90</v>
      </c>
      <c r="B70" s="31" t="s">
        <v>172</v>
      </c>
      <c r="C70" s="123">
        <v>22</v>
      </c>
      <c r="D70" s="124">
        <f>C69*C70</f>
        <v>290</v>
      </c>
    </row>
    <row r="71" spans="1:4" outlineLevel="3" x14ac:dyDescent="0.35">
      <c r="A71" s="122" t="s">
        <v>115</v>
      </c>
      <c r="B71" s="31" t="s">
        <v>91</v>
      </c>
      <c r="C71" s="127">
        <f>'SR - ASG int'!C71</f>
        <v>0</v>
      </c>
      <c r="D71" s="124">
        <f>D70*C71</f>
        <v>0</v>
      </c>
    </row>
    <row r="72" spans="1:4" outlineLevel="2" x14ac:dyDescent="0.35">
      <c r="A72" s="111" t="s">
        <v>17</v>
      </c>
      <c r="B72" s="75" t="s">
        <v>291</v>
      </c>
      <c r="C72" s="126">
        <f>'SR - ASG int'!C72</f>
        <v>9.6999999999999993</v>
      </c>
      <c r="D72" s="129">
        <f>C72</f>
        <v>9.6999999999999993</v>
      </c>
    </row>
    <row r="73" spans="1:4" outlineLevel="2" x14ac:dyDescent="0.35">
      <c r="A73" s="111" t="s">
        <v>19</v>
      </c>
      <c r="B73" s="76" t="s">
        <v>293</v>
      </c>
      <c r="C73" s="126">
        <f>140*3</f>
        <v>420</v>
      </c>
      <c r="D73" s="129">
        <f>C73*C152</f>
        <v>0.84</v>
      </c>
    </row>
    <row r="74" spans="1:4" outlineLevel="2" x14ac:dyDescent="0.35">
      <c r="A74" s="111" t="s">
        <v>22</v>
      </c>
      <c r="B74" s="75" t="s">
        <v>292</v>
      </c>
      <c r="C74" s="126">
        <v>21</v>
      </c>
      <c r="D74" s="129">
        <f>C74</f>
        <v>21</v>
      </c>
    </row>
    <row r="75" spans="1:4" outlineLevel="2" x14ac:dyDescent="0.35">
      <c r="A75" s="111" t="s">
        <v>24</v>
      </c>
      <c r="B75" s="75" t="s">
        <v>554</v>
      </c>
      <c r="C75" s="128">
        <v>0</v>
      </c>
      <c r="D75" s="129">
        <v>97</v>
      </c>
    </row>
    <row r="76" spans="1:4" outlineLevel="2" x14ac:dyDescent="0.35">
      <c r="A76" s="111" t="s">
        <v>25</v>
      </c>
      <c r="B76" s="75" t="s">
        <v>39</v>
      </c>
      <c r="C76" s="126">
        <v>0</v>
      </c>
      <c r="D76" s="130">
        <f>C76</f>
        <v>0</v>
      </c>
    </row>
    <row r="77" spans="1:4" outlineLevel="1" x14ac:dyDescent="0.35">
      <c r="A77" s="644" t="s">
        <v>59</v>
      </c>
      <c r="B77" s="657"/>
      <c r="C77" s="645"/>
      <c r="D77" s="116">
        <f>SUM(D66,D69,D72:D76)</f>
        <v>482.04</v>
      </c>
    </row>
    <row r="78" spans="1:4" outlineLevel="1" x14ac:dyDescent="0.35">
      <c r="A78" s="646"/>
      <c r="B78" s="647"/>
      <c r="C78" s="647"/>
      <c r="D78" s="648"/>
    </row>
    <row r="79" spans="1:4" outlineLevel="1" x14ac:dyDescent="0.35">
      <c r="A79" s="661" t="s">
        <v>60</v>
      </c>
      <c r="B79" s="662"/>
      <c r="C79" s="110" t="s">
        <v>44</v>
      </c>
      <c r="D79" s="110" t="s">
        <v>35</v>
      </c>
    </row>
    <row r="80" spans="1:4" outlineLevel="1" x14ac:dyDescent="0.35">
      <c r="A80" s="111" t="s">
        <v>61</v>
      </c>
      <c r="B80" s="31" t="s">
        <v>43</v>
      </c>
      <c r="C80" s="34">
        <f>C52</f>
        <v>0.1</v>
      </c>
      <c r="D80" s="104">
        <f>D52</f>
        <v>151.62</v>
      </c>
    </row>
    <row r="81" spans="1:4" outlineLevel="1" x14ac:dyDescent="0.35">
      <c r="A81" s="111" t="s">
        <v>46</v>
      </c>
      <c r="B81" s="31" t="s">
        <v>47</v>
      </c>
      <c r="C81" s="34">
        <f>C63</f>
        <v>0.36799999999999999</v>
      </c>
      <c r="D81" s="104">
        <f>D63</f>
        <v>613.75</v>
      </c>
    </row>
    <row r="82" spans="1:4" outlineLevel="1" x14ac:dyDescent="0.35">
      <c r="A82" s="111" t="s">
        <v>62</v>
      </c>
      <c r="B82" s="31" t="s">
        <v>55</v>
      </c>
      <c r="C82" s="34">
        <f>D77/D39</f>
        <v>0.31790000000000002</v>
      </c>
      <c r="D82" s="104">
        <f>D77</f>
        <v>482.04</v>
      </c>
    </row>
    <row r="83" spans="1:4" x14ac:dyDescent="0.35">
      <c r="A83" s="644" t="s">
        <v>11</v>
      </c>
      <c r="B83" s="657"/>
      <c r="C83" s="645"/>
      <c r="D83" s="116">
        <f>SUM(D80:D82)</f>
        <v>1247.4100000000001</v>
      </c>
    </row>
    <row r="84" spans="1:4" x14ac:dyDescent="0.35">
      <c r="A84" s="646"/>
      <c r="B84" s="647"/>
      <c r="C84" s="647"/>
      <c r="D84" s="648"/>
    </row>
    <row r="85" spans="1:4" x14ac:dyDescent="0.35">
      <c r="A85" s="680" t="s">
        <v>173</v>
      </c>
      <c r="B85" s="681"/>
      <c r="C85" s="681"/>
      <c r="D85" s="682"/>
    </row>
    <row r="86" spans="1:4" outlineLevel="1" x14ac:dyDescent="0.35">
      <c r="A86" s="646"/>
      <c r="B86" s="647"/>
      <c r="C86" s="647"/>
      <c r="D86" s="648"/>
    </row>
    <row r="87" spans="1:4" outlineLevel="1" x14ac:dyDescent="0.35">
      <c r="A87" s="64" t="s">
        <v>174</v>
      </c>
      <c r="B87" s="109" t="s">
        <v>175</v>
      </c>
      <c r="C87" s="110" t="s">
        <v>44</v>
      </c>
      <c r="D87" s="110" t="s">
        <v>35</v>
      </c>
    </row>
    <row r="88" spans="1:4" outlineLevel="2" x14ac:dyDescent="0.35">
      <c r="A88" s="35" t="s">
        <v>36</v>
      </c>
      <c r="B88" s="36" t="s">
        <v>176</v>
      </c>
      <c r="C88" s="35" t="s">
        <v>152</v>
      </c>
      <c r="D88" s="131">
        <f>IF(C99&gt;1,SUM(D89:D92)*2,SUM(D89:D92))</f>
        <v>2136.5500000000002</v>
      </c>
    </row>
    <row r="89" spans="1:4" outlineLevel="3" x14ac:dyDescent="0.35">
      <c r="A89" s="37" t="s">
        <v>177</v>
      </c>
      <c r="B89" s="38" t="s">
        <v>178</v>
      </c>
      <c r="C89" s="35">
        <f>(IF(C12&gt;60,45,IF(C12&gt;48,42,IF(C12&gt;36,39,IF(C12&gt;24,36,IF(C12&gt;12,33,30)))))/30)</f>
        <v>1.1000000000000001</v>
      </c>
      <c r="D89" s="131">
        <f>D39*C89</f>
        <v>1667.79</v>
      </c>
    </row>
    <row r="90" spans="1:4" outlineLevel="3" x14ac:dyDescent="0.35">
      <c r="A90" s="37" t="s">
        <v>179</v>
      </c>
      <c r="B90" s="38" t="s">
        <v>180</v>
      </c>
      <c r="C90" s="29">
        <f>1/12</f>
        <v>8.3299999999999999E-2</v>
      </c>
      <c r="D90" s="131">
        <f>C90*D89</f>
        <v>138.93</v>
      </c>
    </row>
    <row r="91" spans="1:4" outlineLevel="3" x14ac:dyDescent="0.35">
      <c r="A91" s="37" t="s">
        <v>181</v>
      </c>
      <c r="B91" s="38" t="s">
        <v>182</v>
      </c>
      <c r="C91" s="29">
        <f>(1/12)+(1/12/3)</f>
        <v>0.1111</v>
      </c>
      <c r="D91" s="132">
        <f>C91*D89</f>
        <v>185.29</v>
      </c>
    </row>
    <row r="92" spans="1:4" outlineLevel="3" x14ac:dyDescent="0.35">
      <c r="A92" s="37" t="s">
        <v>183</v>
      </c>
      <c r="B92" s="38" t="s">
        <v>184</v>
      </c>
      <c r="C92" s="39">
        <v>0.08</v>
      </c>
      <c r="D92" s="131">
        <f>SUM(D89:D90)*C92</f>
        <v>144.54</v>
      </c>
    </row>
    <row r="93" spans="1:4" outlineLevel="2" x14ac:dyDescent="0.35">
      <c r="A93" s="35" t="s">
        <v>16</v>
      </c>
      <c r="B93" s="36" t="s">
        <v>185</v>
      </c>
      <c r="C93" s="40">
        <v>0.4</v>
      </c>
      <c r="D93" s="131">
        <f>C93*D94</f>
        <v>1069</v>
      </c>
    </row>
    <row r="94" spans="1:4" outlineLevel="3" x14ac:dyDescent="0.35">
      <c r="A94" s="35" t="s">
        <v>186</v>
      </c>
      <c r="B94" s="36" t="s">
        <v>187</v>
      </c>
      <c r="C94" s="40">
        <f>C62</f>
        <v>0.08</v>
      </c>
      <c r="D94" s="131">
        <f>C94*D95</f>
        <v>2672.5</v>
      </c>
    </row>
    <row r="95" spans="1:4" outlineLevel="3" x14ac:dyDescent="0.35">
      <c r="A95" s="35" t="s">
        <v>188</v>
      </c>
      <c r="B95" s="41" t="s">
        <v>116</v>
      </c>
      <c r="C95" s="42" t="s">
        <v>152</v>
      </c>
      <c r="D95" s="132">
        <f>SUM(D96:D98)</f>
        <v>33406.28</v>
      </c>
    </row>
    <row r="96" spans="1:4" outlineLevel="3" x14ac:dyDescent="0.35">
      <c r="A96" s="37" t="s">
        <v>189</v>
      </c>
      <c r="B96" s="38" t="s">
        <v>190</v>
      </c>
      <c r="C96" s="43">
        <f>C12-C98</f>
        <v>19</v>
      </c>
      <c r="D96" s="131">
        <f>D39*C96</f>
        <v>28807.23</v>
      </c>
    </row>
    <row r="97" spans="1:4" outlineLevel="3" x14ac:dyDescent="0.35">
      <c r="A97" s="37" t="s">
        <v>191</v>
      </c>
      <c r="B97" s="38" t="s">
        <v>192</v>
      </c>
      <c r="C97" s="44">
        <f>C12/12</f>
        <v>1.7</v>
      </c>
      <c r="D97" s="131">
        <f>D39*C97</f>
        <v>2577.4899999999998</v>
      </c>
    </row>
    <row r="98" spans="1:4" outlineLevel="3" x14ac:dyDescent="0.35">
      <c r="A98" s="37" t="s">
        <v>193</v>
      </c>
      <c r="B98" s="38" t="s">
        <v>194</v>
      </c>
      <c r="C98" s="42">
        <f>IF(C12&gt;60,5,IF(C12&gt;48,4,IF(C12&gt;36,3,IF(C12&gt;24,2,IF(C12&gt;12,1,0)))))</f>
        <v>1</v>
      </c>
      <c r="D98" s="132">
        <f>D39*C98*1.33333333333333</f>
        <v>2021.56</v>
      </c>
    </row>
    <row r="99" spans="1:4" outlineLevel="1" x14ac:dyDescent="0.35">
      <c r="A99" s="644" t="s">
        <v>11</v>
      </c>
      <c r="B99" s="645"/>
      <c r="C99" s="67">
        <f>'SR - ASG int'!C99</f>
        <v>5.5500000000000001E-2</v>
      </c>
      <c r="D99" s="116">
        <f>IF(C99&gt;1,D88+D93,(D88+D93)*C99)</f>
        <v>177.91</v>
      </c>
    </row>
    <row r="100" spans="1:4" outlineLevel="1" x14ac:dyDescent="0.35">
      <c r="A100" s="658"/>
      <c r="B100" s="659"/>
      <c r="C100" s="659"/>
      <c r="D100" s="660"/>
    </row>
    <row r="101" spans="1:4" outlineLevel="1" x14ac:dyDescent="0.35">
      <c r="A101" s="64" t="s">
        <v>195</v>
      </c>
      <c r="B101" s="109" t="s">
        <v>196</v>
      </c>
      <c r="C101" s="110" t="s">
        <v>44</v>
      </c>
      <c r="D101" s="110" t="s">
        <v>35</v>
      </c>
    </row>
    <row r="102" spans="1:4" outlineLevel="2" x14ac:dyDescent="0.35">
      <c r="A102" s="35" t="s">
        <v>36</v>
      </c>
      <c r="B102" s="41" t="s">
        <v>197</v>
      </c>
      <c r="C102" s="45">
        <f>IF(C111&gt;1,(1/30*7)*2,(1/30*7))</f>
        <v>0.23330000000000001</v>
      </c>
      <c r="D102" s="132">
        <f>C102*SUM(D103:D107)</f>
        <v>675.96</v>
      </c>
    </row>
    <row r="103" spans="1:4" outlineLevel="3" x14ac:dyDescent="0.35">
      <c r="A103" s="37" t="s">
        <v>177</v>
      </c>
      <c r="B103" s="38" t="s">
        <v>198</v>
      </c>
      <c r="C103" s="35">
        <v>1</v>
      </c>
      <c r="D103" s="131">
        <f>D39</f>
        <v>1516.17</v>
      </c>
    </row>
    <row r="104" spans="1:4" outlineLevel="3" x14ac:dyDescent="0.35">
      <c r="A104" s="37" t="s">
        <v>179</v>
      </c>
      <c r="B104" s="38" t="s">
        <v>199</v>
      </c>
      <c r="C104" s="29">
        <f>1/12</f>
        <v>8.3299999999999999E-2</v>
      </c>
      <c r="D104" s="131">
        <f>C104*D103</f>
        <v>126.3</v>
      </c>
    </row>
    <row r="105" spans="1:4" outlineLevel="3" x14ac:dyDescent="0.35">
      <c r="A105" s="37" t="s">
        <v>181</v>
      </c>
      <c r="B105" s="38" t="s">
        <v>200</v>
      </c>
      <c r="C105" s="29">
        <f>(1/12)+(1/12/3)</f>
        <v>0.1111</v>
      </c>
      <c r="D105" s="131">
        <f>C105*D103</f>
        <v>168.45</v>
      </c>
    </row>
    <row r="106" spans="1:4" outlineLevel="3" x14ac:dyDescent="0.35">
      <c r="A106" s="37" t="s">
        <v>183</v>
      </c>
      <c r="B106" s="46" t="s">
        <v>63</v>
      </c>
      <c r="C106" s="47">
        <f>C63</f>
        <v>0.36799999999999999</v>
      </c>
      <c r="D106" s="132">
        <f>C106*(D103+D104)</f>
        <v>604.42999999999995</v>
      </c>
    </row>
    <row r="107" spans="1:4" outlineLevel="3" x14ac:dyDescent="0.35">
      <c r="A107" s="37" t="s">
        <v>201</v>
      </c>
      <c r="B107" s="46" t="s">
        <v>202</v>
      </c>
      <c r="C107" s="42">
        <v>1</v>
      </c>
      <c r="D107" s="132">
        <f>D77</f>
        <v>482.04</v>
      </c>
    </row>
    <row r="108" spans="1:4" outlineLevel="2" x14ac:dyDescent="0.35">
      <c r="A108" s="35" t="s">
        <v>16</v>
      </c>
      <c r="B108" s="36" t="s">
        <v>203</v>
      </c>
      <c r="C108" s="40">
        <v>0.4</v>
      </c>
      <c r="D108" s="131">
        <f>C108*D109</f>
        <v>1069</v>
      </c>
    </row>
    <row r="109" spans="1:4" outlineLevel="2" x14ac:dyDescent="0.35">
      <c r="A109" s="35" t="s">
        <v>186</v>
      </c>
      <c r="B109" s="36" t="s">
        <v>187</v>
      </c>
      <c r="C109" s="40">
        <f>C62</f>
        <v>0.08</v>
      </c>
      <c r="D109" s="131">
        <f>C109*D110</f>
        <v>2672.5</v>
      </c>
    </row>
    <row r="110" spans="1:4" outlineLevel="2" x14ac:dyDescent="0.35">
      <c r="A110" s="35" t="s">
        <v>188</v>
      </c>
      <c r="B110" s="41" t="s">
        <v>116</v>
      </c>
      <c r="C110" s="42" t="s">
        <v>152</v>
      </c>
      <c r="D110" s="132">
        <f>D95</f>
        <v>33406.28</v>
      </c>
    </row>
    <row r="111" spans="1:4" outlineLevel="1" x14ac:dyDescent="0.35">
      <c r="A111" s="644" t="s">
        <v>11</v>
      </c>
      <c r="B111" s="645"/>
      <c r="C111" s="67">
        <f>'SR - ASG int'!C111</f>
        <v>0.94450000000000001</v>
      </c>
      <c r="D111" s="116">
        <f>IF(C111&gt;1,D102+D108,(D102+D108)*C111)</f>
        <v>1648.11</v>
      </c>
    </row>
    <row r="112" spans="1:4" outlineLevel="1" x14ac:dyDescent="0.35">
      <c r="A112" s="658"/>
      <c r="B112" s="659"/>
      <c r="C112" s="659"/>
      <c r="D112" s="660"/>
    </row>
    <row r="113" spans="1:4" outlineLevel="1" x14ac:dyDescent="0.35">
      <c r="A113" s="64" t="s">
        <v>204</v>
      </c>
      <c r="B113" s="109" t="s">
        <v>205</v>
      </c>
      <c r="C113" s="110" t="s">
        <v>44</v>
      </c>
      <c r="D113" s="110" t="s">
        <v>35</v>
      </c>
    </row>
    <row r="114" spans="1:4" outlineLevel="2" x14ac:dyDescent="0.35">
      <c r="A114" s="111" t="s">
        <v>36</v>
      </c>
      <c r="B114" s="31" t="s">
        <v>206</v>
      </c>
      <c r="C114" s="34">
        <f>IF(C12&gt;60,(D39/12*(C12-60))/C12/D39,IF(C12&gt;48,(D39/12*(C12-48))/C12/D39,IF(C12&gt;36,(D39/12*(C12-36))/C12/D39,IF(C12&gt;24,(D39/12*(C12-24))/C12/D39,IF(C12&gt;12,((D39/12*(C12-12))/C12/D39),1/12)))))</f>
        <v>3.3300000000000003E-2</v>
      </c>
      <c r="D114" s="133">
        <f>C114*D39</f>
        <v>50.49</v>
      </c>
    </row>
    <row r="115" spans="1:4" outlineLevel="2" x14ac:dyDescent="0.35">
      <c r="A115" s="111" t="s">
        <v>16</v>
      </c>
      <c r="B115" s="48" t="s">
        <v>207</v>
      </c>
      <c r="C115" s="34">
        <f>C114/3</f>
        <v>1.11E-2</v>
      </c>
      <c r="D115" s="134">
        <f>C115*D39</f>
        <v>16.829999999999998</v>
      </c>
    </row>
    <row r="116" spans="1:4" outlineLevel="1" x14ac:dyDescent="0.35">
      <c r="A116" s="644" t="s">
        <v>11</v>
      </c>
      <c r="B116" s="645"/>
      <c r="C116" s="30">
        <f>C114+C115</f>
        <v>4.4400000000000002E-2</v>
      </c>
      <c r="D116" s="116">
        <f>SUM(D114:D115)</f>
        <v>67.319999999999993</v>
      </c>
    </row>
    <row r="117" spans="1:4" outlineLevel="1" x14ac:dyDescent="0.35">
      <c r="A117" s="658"/>
      <c r="B117" s="659"/>
      <c r="C117" s="659"/>
      <c r="D117" s="660"/>
    </row>
    <row r="118" spans="1:4" outlineLevel="1" x14ac:dyDescent="0.35">
      <c r="A118" s="661" t="s">
        <v>208</v>
      </c>
      <c r="B118" s="662"/>
      <c r="C118" s="110" t="s">
        <v>44</v>
      </c>
      <c r="D118" s="110" t="s">
        <v>35</v>
      </c>
    </row>
    <row r="119" spans="1:4" outlineLevel="1" x14ac:dyDescent="0.35">
      <c r="A119" s="111" t="s">
        <v>174</v>
      </c>
      <c r="B119" s="31" t="s">
        <v>175</v>
      </c>
      <c r="C119" s="34">
        <f>C99</f>
        <v>5.5500000000000001E-2</v>
      </c>
      <c r="D119" s="104">
        <f>D99</f>
        <v>177.91</v>
      </c>
    </row>
    <row r="120" spans="1:4" outlineLevel="1" x14ac:dyDescent="0.35">
      <c r="A120" s="113" t="s">
        <v>195</v>
      </c>
      <c r="B120" s="31" t="s">
        <v>196</v>
      </c>
      <c r="C120" s="49">
        <f>C111</f>
        <v>0.94450000000000001</v>
      </c>
      <c r="D120" s="104">
        <f>D111</f>
        <v>1648.11</v>
      </c>
    </row>
    <row r="121" spans="1:4" outlineLevel="1" x14ac:dyDescent="0.35">
      <c r="A121" s="679" t="s">
        <v>209</v>
      </c>
      <c r="B121" s="679"/>
      <c r="C121" s="679"/>
      <c r="D121" s="135">
        <f>D119+D120</f>
        <v>1826.02</v>
      </c>
    </row>
    <row r="122" spans="1:4" outlineLevel="1" x14ac:dyDescent="0.35">
      <c r="A122" s="675" t="s">
        <v>210</v>
      </c>
      <c r="B122" s="676"/>
      <c r="C122" s="68">
        <f>'SR - ASG int'!C122</f>
        <v>0.63570000000000004</v>
      </c>
      <c r="D122" s="58">
        <f>C122*D121</f>
        <v>1160.8</v>
      </c>
    </row>
    <row r="123" spans="1:4" outlineLevel="1" x14ac:dyDescent="0.35">
      <c r="A123" s="675" t="s">
        <v>211</v>
      </c>
      <c r="B123" s="676"/>
      <c r="C123" s="68">
        <f>'SR - ASG int'!C123</f>
        <v>1.0999999999999999E-2</v>
      </c>
      <c r="D123" s="58">
        <f>(D50+(D116/2))*-C123</f>
        <v>-1.76</v>
      </c>
    </row>
    <row r="124" spans="1:4" outlineLevel="1" x14ac:dyDescent="0.35">
      <c r="A124" s="677" t="s">
        <v>212</v>
      </c>
      <c r="B124" s="678"/>
      <c r="C124" s="72">
        <f>1/C12</f>
        <v>0.05</v>
      </c>
      <c r="D124" s="59">
        <f>(D122+D123)*C124</f>
        <v>57.95</v>
      </c>
    </row>
    <row r="125" spans="1:4" outlineLevel="1" x14ac:dyDescent="0.35">
      <c r="A125" s="113" t="s">
        <v>204</v>
      </c>
      <c r="B125" s="31" t="s">
        <v>213</v>
      </c>
      <c r="C125" s="49"/>
      <c r="D125" s="124">
        <f>D116</f>
        <v>67.319999999999993</v>
      </c>
    </row>
    <row r="126" spans="1:4" x14ac:dyDescent="0.35">
      <c r="A126" s="644" t="s">
        <v>11</v>
      </c>
      <c r="B126" s="645"/>
      <c r="C126" s="30"/>
      <c r="D126" s="136">
        <f>D124+D125</f>
        <v>125.27</v>
      </c>
    </row>
    <row r="127" spans="1:4" x14ac:dyDescent="0.35">
      <c r="A127" s="646"/>
      <c r="B127" s="647"/>
      <c r="C127" s="647"/>
      <c r="D127" s="648"/>
    </row>
    <row r="128" spans="1:4" x14ac:dyDescent="0.35">
      <c r="A128" s="663" t="s">
        <v>64</v>
      </c>
      <c r="B128" s="664"/>
      <c r="C128" s="664"/>
      <c r="D128" s="665"/>
    </row>
    <row r="129" spans="1:4" outlineLevel="1" x14ac:dyDescent="0.35">
      <c r="A129" s="658"/>
      <c r="B129" s="659"/>
      <c r="C129" s="659"/>
      <c r="D129" s="660"/>
    </row>
    <row r="130" spans="1:4" outlineLevel="1" x14ac:dyDescent="0.35">
      <c r="A130" s="110" t="s">
        <v>65</v>
      </c>
      <c r="B130" s="117" t="s">
        <v>214</v>
      </c>
      <c r="C130" s="30" t="s">
        <v>44</v>
      </c>
      <c r="D130" s="110" t="s">
        <v>35</v>
      </c>
    </row>
    <row r="131" spans="1:4" outlineLevel="2" x14ac:dyDescent="0.35">
      <c r="A131" s="137" t="s">
        <v>36</v>
      </c>
      <c r="B131" s="89" t="s">
        <v>66</v>
      </c>
      <c r="C131" s="50">
        <f>IF(C12&gt;60,5/C12,IF(C12&gt;48,4/C12,IF(C12&gt;36,3/C12,IF(C12&gt;24,2/C12,IF(C12&gt;12,1/C12,0)))))</f>
        <v>0.05</v>
      </c>
      <c r="D131" s="133">
        <f>SUM(D132:D136)</f>
        <v>97.99</v>
      </c>
    </row>
    <row r="132" spans="1:4" outlineLevel="3" x14ac:dyDescent="0.35">
      <c r="A132" s="138" t="s">
        <v>215</v>
      </c>
      <c r="B132" s="90" t="s">
        <v>216</v>
      </c>
      <c r="C132" s="139">
        <f>D39</f>
        <v>1516.17</v>
      </c>
      <c r="D132" s="140">
        <f>$C$131*(D39)-($C$131*(D39)*C137/3)</f>
        <v>75.81</v>
      </c>
    </row>
    <row r="133" spans="1:4" outlineLevel="3" x14ac:dyDescent="0.35">
      <c r="A133" s="138" t="s">
        <v>217</v>
      </c>
      <c r="B133" s="90" t="s">
        <v>218</v>
      </c>
      <c r="C133" s="139">
        <f>(D50)</f>
        <v>126.3</v>
      </c>
      <c r="D133" s="140">
        <f>$C$131*C133-($C$131*C133*C137/3)</f>
        <v>6.32</v>
      </c>
    </row>
    <row r="134" spans="1:4" outlineLevel="3" x14ac:dyDescent="0.35">
      <c r="A134" s="138" t="s">
        <v>219</v>
      </c>
      <c r="B134" s="90" t="s">
        <v>220</v>
      </c>
      <c r="C134" s="141">
        <f>(D39/12)+(D51*IF(C12&gt;60,((C12-60)*(1/60))+1,IF(C12&gt;48,((C12-48)*(1/48))+1,IF(C12&gt;36,((C12-36)*(1/36))+1,IF(C12&gt;24,((C12-24)*(1/24))+1,IF(C12&gt;12,((C12-12)*(1/12))+1,1))))))</f>
        <v>168.55</v>
      </c>
      <c r="D134" s="140">
        <f>$C$131*C134-($C$131*C134*C137/3)</f>
        <v>8.43</v>
      </c>
    </row>
    <row r="135" spans="1:4" outlineLevel="3" x14ac:dyDescent="0.35">
      <c r="A135" s="138" t="s">
        <v>221</v>
      </c>
      <c r="B135" s="90" t="s">
        <v>222</v>
      </c>
      <c r="C135" s="91">
        <f>C63</f>
        <v>0.36799999999999999</v>
      </c>
      <c r="D135" s="140">
        <f>SUM(D132:D134)*C131</f>
        <v>4.53</v>
      </c>
    </row>
    <row r="136" spans="1:4" outlineLevel="3" x14ac:dyDescent="0.35">
      <c r="A136" s="138" t="s">
        <v>223</v>
      </c>
      <c r="B136" s="90" t="s">
        <v>224</v>
      </c>
      <c r="C136" s="141">
        <f>D124</f>
        <v>57.95</v>
      </c>
      <c r="D136" s="140">
        <f>C136*C131</f>
        <v>2.9</v>
      </c>
    </row>
    <row r="137" spans="1:4" outlineLevel="2" x14ac:dyDescent="0.35">
      <c r="A137" s="111" t="s">
        <v>16</v>
      </c>
      <c r="B137" s="31" t="s">
        <v>225</v>
      </c>
      <c r="C137" s="92">
        <v>0</v>
      </c>
      <c r="D137" s="124">
        <f>$C$131*(D39)*(C137/3)</f>
        <v>0</v>
      </c>
    </row>
    <row r="138" spans="1:4" outlineLevel="1" x14ac:dyDescent="0.35">
      <c r="A138" s="644" t="s">
        <v>226</v>
      </c>
      <c r="B138" s="645"/>
      <c r="C138" s="30">
        <f>C131+(D137/D39)</f>
        <v>0.05</v>
      </c>
      <c r="D138" s="116">
        <f>SUM(D131:D137)</f>
        <v>195.98</v>
      </c>
    </row>
    <row r="139" spans="1:4" outlineLevel="1" x14ac:dyDescent="0.35">
      <c r="A139" s="658"/>
      <c r="B139" s="659"/>
      <c r="C139" s="659"/>
      <c r="D139" s="660"/>
    </row>
    <row r="140" spans="1:4" outlineLevel="2" x14ac:dyDescent="0.35">
      <c r="A140" s="668" t="s">
        <v>227</v>
      </c>
      <c r="B140" s="142" t="s">
        <v>190</v>
      </c>
      <c r="C140" s="93">
        <v>220</v>
      </c>
      <c r="D140" s="143">
        <f>D39</f>
        <v>1516.17</v>
      </c>
    </row>
    <row r="141" spans="1:4" outlineLevel="2" x14ac:dyDescent="0.35">
      <c r="A141" s="669"/>
      <c r="B141" s="142" t="s">
        <v>228</v>
      </c>
      <c r="C141" s="50">
        <f>(1+(1/3)+1)/12</f>
        <v>0.19439999999999999</v>
      </c>
      <c r="D141" s="144">
        <f>D140*C141</f>
        <v>294.74</v>
      </c>
    </row>
    <row r="142" spans="1:4" outlineLevel="2" x14ac:dyDescent="0.35">
      <c r="A142" s="669"/>
      <c r="B142" s="142" t="s">
        <v>229</v>
      </c>
      <c r="C142" s="50">
        <f>C63</f>
        <v>0.36799999999999999</v>
      </c>
      <c r="D142" s="144">
        <f>(D140+D141)*C142</f>
        <v>666.41</v>
      </c>
    </row>
    <row r="143" spans="1:4" outlineLevel="2" x14ac:dyDescent="0.35">
      <c r="A143" s="669"/>
      <c r="B143" s="142" t="s">
        <v>230</v>
      </c>
      <c r="C143" s="50">
        <f>D143/D140</f>
        <v>0.31790000000000002</v>
      </c>
      <c r="D143" s="144">
        <f>D77</f>
        <v>482.04</v>
      </c>
    </row>
    <row r="144" spans="1:4" outlineLevel="2" x14ac:dyDescent="0.35">
      <c r="A144" s="670"/>
      <c r="B144" s="145" t="s">
        <v>231</v>
      </c>
      <c r="C144" s="50">
        <f>D144/D140</f>
        <v>3.8199999999999998E-2</v>
      </c>
      <c r="D144" s="144">
        <f>D124</f>
        <v>57.95</v>
      </c>
    </row>
    <row r="145" spans="1:4" outlineLevel="2" x14ac:dyDescent="0.35">
      <c r="A145" s="671" t="s">
        <v>232</v>
      </c>
      <c r="B145" s="672"/>
      <c r="C145" s="94">
        <f>D145/D140</f>
        <v>1.9901</v>
      </c>
      <c r="D145" s="146">
        <f>SUM(D140:D144)</f>
        <v>3017.31</v>
      </c>
    </row>
    <row r="146" spans="1:4" outlineLevel="2" x14ac:dyDescent="0.35">
      <c r="A146" s="673"/>
      <c r="B146" s="673"/>
      <c r="C146" s="673"/>
      <c r="D146" s="674"/>
    </row>
    <row r="147" spans="1:4" outlineLevel="1" x14ac:dyDescent="0.35">
      <c r="A147" s="110" t="s">
        <v>233</v>
      </c>
      <c r="B147" s="117" t="s">
        <v>234</v>
      </c>
      <c r="C147" s="30" t="s">
        <v>44</v>
      </c>
      <c r="D147" s="110" t="s">
        <v>35</v>
      </c>
    </row>
    <row r="148" spans="1:4" outlineLevel="2" x14ac:dyDescent="0.35">
      <c r="A148" s="111" t="s">
        <v>16</v>
      </c>
      <c r="B148" s="31" t="s">
        <v>118</v>
      </c>
      <c r="C148" s="77">
        <f>5/252</f>
        <v>1.9800000000000002E-2</v>
      </c>
      <c r="D148" s="133">
        <f>C148*$D$145</f>
        <v>59.74</v>
      </c>
    </row>
    <row r="149" spans="1:4" outlineLevel="2" x14ac:dyDescent="0.35">
      <c r="A149" s="111" t="s">
        <v>17</v>
      </c>
      <c r="B149" s="31" t="s">
        <v>119</v>
      </c>
      <c r="C149" s="77">
        <f>1.383/252</f>
        <v>5.4999999999999997E-3</v>
      </c>
      <c r="D149" s="133">
        <f>C149*$D$145</f>
        <v>16.600000000000001</v>
      </c>
    </row>
    <row r="150" spans="1:4" outlineLevel="2" x14ac:dyDescent="0.35">
      <c r="A150" s="111" t="s">
        <v>19</v>
      </c>
      <c r="B150" s="31" t="s">
        <v>117</v>
      </c>
      <c r="C150" s="77">
        <f>1.3892/252</f>
        <v>5.4999999999999997E-3</v>
      </c>
      <c r="D150" s="133">
        <f t="shared" ref="D150:D153" si="1">C150*$D$145</f>
        <v>16.600000000000001</v>
      </c>
    </row>
    <row r="151" spans="1:4" outlineLevel="2" x14ac:dyDescent="0.35">
      <c r="A151" s="111" t="s">
        <v>22</v>
      </c>
      <c r="B151" s="31" t="s">
        <v>67</v>
      </c>
      <c r="C151" s="77">
        <f>0.65/252</f>
        <v>2.5999999999999999E-3</v>
      </c>
      <c r="D151" s="133">
        <f t="shared" si="1"/>
        <v>7.85</v>
      </c>
    </row>
    <row r="152" spans="1:4" outlineLevel="2" x14ac:dyDescent="0.35">
      <c r="A152" s="111" t="s">
        <v>24</v>
      </c>
      <c r="B152" s="31" t="s">
        <v>68</v>
      </c>
      <c r="C152" s="77">
        <f>0.5052/252</f>
        <v>2E-3</v>
      </c>
      <c r="D152" s="133">
        <f t="shared" si="1"/>
        <v>6.03</v>
      </c>
    </row>
    <row r="153" spans="1:4" outlineLevel="2" x14ac:dyDescent="0.35">
      <c r="A153" s="111" t="s">
        <v>36</v>
      </c>
      <c r="B153" s="61" t="s">
        <v>235</v>
      </c>
      <c r="C153" s="69">
        <f>0.2/252</f>
        <v>8.0000000000000004E-4</v>
      </c>
      <c r="D153" s="133">
        <f t="shared" si="1"/>
        <v>2.41</v>
      </c>
    </row>
    <row r="154" spans="1:4" outlineLevel="1" x14ac:dyDescent="0.35">
      <c r="A154" s="644" t="s">
        <v>226</v>
      </c>
      <c r="B154" s="645"/>
      <c r="C154" s="30">
        <f>SUM(C148:C153)</f>
        <v>3.6200000000000003E-2</v>
      </c>
      <c r="D154" s="116">
        <f>SUM(D148:D153)</f>
        <v>109.23</v>
      </c>
    </row>
    <row r="155" spans="1:4" outlineLevel="1" x14ac:dyDescent="0.35">
      <c r="A155" s="658"/>
      <c r="B155" s="659"/>
      <c r="C155" s="659"/>
      <c r="D155" s="660"/>
    </row>
    <row r="156" spans="1:4" outlineLevel="1" x14ac:dyDescent="0.35">
      <c r="A156" s="661" t="s">
        <v>236</v>
      </c>
      <c r="B156" s="666"/>
      <c r="C156" s="30" t="s">
        <v>237</v>
      </c>
      <c r="D156" s="110" t="s">
        <v>35</v>
      </c>
    </row>
    <row r="157" spans="1:4" outlineLevel="2" x14ac:dyDescent="0.4">
      <c r="A157" s="667" t="s">
        <v>238</v>
      </c>
      <c r="B157" s="142" t="s">
        <v>239</v>
      </c>
      <c r="C157" s="95">
        <f>C153</f>
        <v>8.0000000000000004E-4</v>
      </c>
      <c r="D157" s="147">
        <f>C157*-D140</f>
        <v>-1.21</v>
      </c>
    </row>
    <row r="158" spans="1:4" outlineLevel="2" x14ac:dyDescent="0.4">
      <c r="A158" s="667"/>
      <c r="B158" s="148" t="s">
        <v>240</v>
      </c>
      <c r="C158" s="96">
        <v>0</v>
      </c>
      <c r="D158" s="149">
        <f>C158*-(D140/220/24*5)</f>
        <v>0</v>
      </c>
    </row>
    <row r="159" spans="1:4" outlineLevel="2" x14ac:dyDescent="0.4">
      <c r="A159" s="667"/>
      <c r="B159" s="148" t="s">
        <v>241</v>
      </c>
      <c r="C159" s="96">
        <v>0</v>
      </c>
      <c r="D159" s="149">
        <f>C159*-D141</f>
        <v>0</v>
      </c>
    </row>
    <row r="160" spans="1:4" outlineLevel="2" x14ac:dyDescent="0.4">
      <c r="A160" s="667"/>
      <c r="B160" s="142" t="s">
        <v>242</v>
      </c>
      <c r="C160" s="95">
        <f>C154</f>
        <v>3.6200000000000003E-2</v>
      </c>
      <c r="D160" s="147">
        <f>C160*-D66</f>
        <v>-2.2999999999999998</v>
      </c>
    </row>
    <row r="161" spans="1:4" outlineLevel="2" x14ac:dyDescent="0.4">
      <c r="A161" s="667"/>
      <c r="B161" s="142" t="s">
        <v>243</v>
      </c>
      <c r="C161" s="95">
        <f>C154</f>
        <v>3.6200000000000003E-2</v>
      </c>
      <c r="D161" s="147">
        <f>C161*-D69</f>
        <v>-10.5</v>
      </c>
    </row>
    <row r="162" spans="1:4" outlineLevel="2" x14ac:dyDescent="0.4">
      <c r="A162" s="667"/>
      <c r="B162" s="145" t="s">
        <v>244</v>
      </c>
      <c r="C162" s="95">
        <f>C153</f>
        <v>8.0000000000000004E-4</v>
      </c>
      <c r="D162" s="147">
        <f>C162*-D74</f>
        <v>-0.02</v>
      </c>
    </row>
    <row r="163" spans="1:4" outlineLevel="2" x14ac:dyDescent="0.35">
      <c r="A163" s="667"/>
      <c r="B163" s="145" t="s">
        <v>245</v>
      </c>
      <c r="C163" s="97">
        <f>C152</f>
        <v>2E-3</v>
      </c>
      <c r="D163" s="133">
        <f>C163*-SUM(D55:D61)</f>
        <v>-0.96</v>
      </c>
    </row>
    <row r="164" spans="1:4" outlineLevel="2" x14ac:dyDescent="0.4">
      <c r="A164" s="667"/>
      <c r="B164" s="142" t="s">
        <v>246</v>
      </c>
      <c r="C164" s="95">
        <f>C153</f>
        <v>8.0000000000000004E-4</v>
      </c>
      <c r="D164" s="147">
        <f>C164*-D142</f>
        <v>-0.53</v>
      </c>
    </row>
    <row r="165" spans="1:4" outlineLevel="1" x14ac:dyDescent="0.35">
      <c r="A165" s="644" t="s">
        <v>247</v>
      </c>
      <c r="B165" s="645"/>
      <c r="C165" s="30">
        <f>D165/D140</f>
        <v>-1.0200000000000001E-2</v>
      </c>
      <c r="D165" s="116">
        <f>SUM(D157:D164)</f>
        <v>-15.52</v>
      </c>
    </row>
    <row r="166" spans="1:4" outlineLevel="1" x14ac:dyDescent="0.35">
      <c r="A166" s="658"/>
      <c r="B166" s="659"/>
      <c r="C166" s="659"/>
      <c r="D166" s="660"/>
    </row>
    <row r="167" spans="1:4" outlineLevel="1" x14ac:dyDescent="0.35">
      <c r="A167" s="644" t="s">
        <v>248</v>
      </c>
      <c r="B167" s="645"/>
      <c r="C167" s="30">
        <f>D167/D140</f>
        <v>6.1800000000000001E-2</v>
      </c>
      <c r="D167" s="116">
        <f>D154+D165</f>
        <v>93.71</v>
      </c>
    </row>
    <row r="168" spans="1:4" outlineLevel="1" x14ac:dyDescent="0.35">
      <c r="A168" s="658"/>
      <c r="B168" s="659"/>
      <c r="C168" s="659"/>
      <c r="D168" s="660"/>
    </row>
    <row r="169" spans="1:4" outlineLevel="1" x14ac:dyDescent="0.35">
      <c r="A169" s="661" t="s">
        <v>249</v>
      </c>
      <c r="B169" s="662"/>
      <c r="C169" s="110" t="s">
        <v>44</v>
      </c>
      <c r="D169" s="110" t="s">
        <v>35</v>
      </c>
    </row>
    <row r="170" spans="1:4" outlineLevel="1" x14ac:dyDescent="0.35">
      <c r="A170" s="111" t="s">
        <v>65</v>
      </c>
      <c r="B170" s="31" t="s">
        <v>214</v>
      </c>
      <c r="C170" s="34"/>
      <c r="D170" s="150">
        <f>D138</f>
        <v>195.98</v>
      </c>
    </row>
    <row r="171" spans="1:4" outlineLevel="1" x14ac:dyDescent="0.35">
      <c r="A171" s="111" t="s">
        <v>233</v>
      </c>
      <c r="B171" s="31" t="s">
        <v>234</v>
      </c>
      <c r="C171" s="34"/>
      <c r="D171" s="150">
        <f>D167</f>
        <v>93.71</v>
      </c>
    </row>
    <row r="172" spans="1:4" x14ac:dyDescent="0.35">
      <c r="A172" s="644" t="s">
        <v>11</v>
      </c>
      <c r="B172" s="657"/>
      <c r="C172" s="645"/>
      <c r="D172" s="119">
        <f>SUM(D170:D171)</f>
        <v>289.69</v>
      </c>
    </row>
    <row r="173" spans="1:4" x14ac:dyDescent="0.35">
      <c r="A173" s="658"/>
      <c r="B173" s="659"/>
      <c r="C173" s="659"/>
      <c r="D173" s="660"/>
    </row>
    <row r="174" spans="1:4" x14ac:dyDescent="0.35">
      <c r="A174" s="663" t="s">
        <v>69</v>
      </c>
      <c r="B174" s="664"/>
      <c r="C174" s="664"/>
      <c r="D174" s="665"/>
    </row>
    <row r="175" spans="1:4" outlineLevel="1" x14ac:dyDescent="0.35">
      <c r="A175" s="658"/>
      <c r="B175" s="659"/>
      <c r="C175" s="659"/>
      <c r="D175" s="660"/>
    </row>
    <row r="176" spans="1:4" outlineLevel="1" x14ac:dyDescent="0.35">
      <c r="A176" s="64">
        <v>5</v>
      </c>
      <c r="B176" s="644" t="s">
        <v>250</v>
      </c>
      <c r="C176" s="645"/>
      <c r="D176" s="110" t="s">
        <v>35</v>
      </c>
    </row>
    <row r="177" spans="1:4" outlineLevel="1" x14ac:dyDescent="0.35">
      <c r="A177" s="111" t="s">
        <v>36</v>
      </c>
      <c r="B177" s="655" t="s">
        <v>343</v>
      </c>
      <c r="C177" s="656"/>
      <c r="D177" s="133">
        <f>INSUMOS!H12</f>
        <v>25.07</v>
      </c>
    </row>
    <row r="178" spans="1:4" outlineLevel="1" x14ac:dyDescent="0.35">
      <c r="A178" s="111" t="s">
        <v>16</v>
      </c>
      <c r="B178" s="655" t="s">
        <v>369</v>
      </c>
      <c r="C178" s="656"/>
      <c r="D178" s="151">
        <f>INSUMOS!H31</f>
        <v>19.34</v>
      </c>
    </row>
    <row r="179" spans="1:4" outlineLevel="1" x14ac:dyDescent="0.35">
      <c r="A179" s="111" t="s">
        <v>17</v>
      </c>
      <c r="B179" s="640" t="s">
        <v>326</v>
      </c>
      <c r="C179" s="642"/>
      <c r="D179" s="151">
        <f>MATERIAIS!H125</f>
        <v>415.59</v>
      </c>
    </row>
    <row r="180" spans="1:4" outlineLevel="1" x14ac:dyDescent="0.35">
      <c r="A180" s="111" t="s">
        <v>19</v>
      </c>
      <c r="B180" s="640" t="s">
        <v>325</v>
      </c>
      <c r="C180" s="642"/>
      <c r="D180" s="151">
        <f>EQUIPAMENTOS!I134</f>
        <v>9.41</v>
      </c>
    </row>
    <row r="181" spans="1:4" outlineLevel="1" x14ac:dyDescent="0.35">
      <c r="A181" s="111" t="s">
        <v>22</v>
      </c>
      <c r="B181" s="705" t="s">
        <v>39</v>
      </c>
      <c r="C181" s="706"/>
      <c r="D181" s="130">
        <v>0</v>
      </c>
    </row>
    <row r="182" spans="1:4" outlineLevel="1" x14ac:dyDescent="0.35">
      <c r="A182" s="111" t="s">
        <v>24</v>
      </c>
      <c r="B182" s="705" t="s">
        <v>39</v>
      </c>
      <c r="C182" s="706"/>
      <c r="D182" s="130">
        <v>0</v>
      </c>
    </row>
    <row r="183" spans="1:4" x14ac:dyDescent="0.35">
      <c r="A183" s="644" t="s">
        <v>11</v>
      </c>
      <c r="B183" s="657"/>
      <c r="C183" s="645"/>
      <c r="D183" s="116">
        <f>SUM(D177:D181)</f>
        <v>469.41</v>
      </c>
    </row>
    <row r="184" spans="1:4" x14ac:dyDescent="0.35">
      <c r="A184" s="646"/>
      <c r="B184" s="647"/>
      <c r="C184" s="647"/>
      <c r="D184" s="648"/>
    </row>
    <row r="185" spans="1:4" x14ac:dyDescent="0.35">
      <c r="A185" s="649" t="s">
        <v>70</v>
      </c>
      <c r="B185" s="649"/>
      <c r="C185" s="649"/>
      <c r="D185" s="152">
        <f>D39+D83+D126+D172+D183</f>
        <v>3647.95</v>
      </c>
    </row>
    <row r="186" spans="1:4" x14ac:dyDescent="0.35">
      <c r="A186" s="650"/>
      <c r="B186" s="650"/>
      <c r="C186" s="650"/>
      <c r="D186" s="650"/>
    </row>
    <row r="187" spans="1:4" x14ac:dyDescent="0.35">
      <c r="A187" s="651" t="s">
        <v>71</v>
      </c>
      <c r="B187" s="651"/>
      <c r="C187" s="651"/>
      <c r="D187" s="651"/>
    </row>
    <row r="188" spans="1:4" outlineLevel="1" x14ac:dyDescent="0.35">
      <c r="A188" s="652"/>
      <c r="B188" s="653"/>
      <c r="C188" s="653"/>
      <c r="D188" s="654"/>
    </row>
    <row r="189" spans="1:4" outlineLevel="1" x14ac:dyDescent="0.35">
      <c r="A189" s="64">
        <v>6</v>
      </c>
      <c r="B189" s="117" t="s">
        <v>72</v>
      </c>
      <c r="C189" s="110" t="s">
        <v>44</v>
      </c>
      <c r="D189" s="110" t="s">
        <v>35</v>
      </c>
    </row>
    <row r="190" spans="1:4" outlineLevel="1" x14ac:dyDescent="0.35">
      <c r="A190" s="111" t="s">
        <v>36</v>
      </c>
      <c r="B190" s="31" t="s">
        <v>73</v>
      </c>
      <c r="C190" s="70">
        <f>'SR - ASG int'!C189</f>
        <v>2.6499999999999999E-2</v>
      </c>
      <c r="D190" s="105">
        <f>C190*D185</f>
        <v>96.67</v>
      </c>
    </row>
    <row r="191" spans="1:4" outlineLevel="1" x14ac:dyDescent="0.35">
      <c r="A191" s="638" t="s">
        <v>1</v>
      </c>
      <c r="B191" s="639"/>
      <c r="C191" s="643"/>
      <c r="D191" s="105">
        <f>D185+D190</f>
        <v>3744.62</v>
      </c>
    </row>
    <row r="192" spans="1:4" outlineLevel="1" x14ac:dyDescent="0.35">
      <c r="A192" s="111" t="s">
        <v>16</v>
      </c>
      <c r="B192" s="31" t="s">
        <v>74</v>
      </c>
      <c r="C192" s="70">
        <f>'SR - ASG int'!C191</f>
        <v>0.1087</v>
      </c>
      <c r="D192" s="105">
        <f>C192*D191</f>
        <v>407.04</v>
      </c>
    </row>
    <row r="193" spans="1:4" outlineLevel="1" x14ac:dyDescent="0.35">
      <c r="A193" s="638" t="s">
        <v>1</v>
      </c>
      <c r="B193" s="639"/>
      <c r="C193" s="639"/>
      <c r="D193" s="105">
        <f>D192+D191</f>
        <v>4151.66</v>
      </c>
    </row>
    <row r="194" spans="1:4" outlineLevel="1" x14ac:dyDescent="0.35">
      <c r="A194" s="111" t="s">
        <v>17</v>
      </c>
      <c r="B194" s="640" t="s">
        <v>75</v>
      </c>
      <c r="C194" s="641"/>
      <c r="D194" s="642"/>
    </row>
    <row r="195" spans="1:4" outlineLevel="1" x14ac:dyDescent="0.35">
      <c r="A195" s="153"/>
      <c r="B195" s="63" t="s">
        <v>76</v>
      </c>
      <c r="C195" s="70">
        <v>6.4999999999999997E-3</v>
      </c>
      <c r="D195" s="105">
        <f>(D193/(1-C198)*C195)</f>
        <v>28.6</v>
      </c>
    </row>
    <row r="196" spans="1:4" outlineLevel="1" x14ac:dyDescent="0.35">
      <c r="A196" s="153"/>
      <c r="B196" s="63" t="s">
        <v>77</v>
      </c>
      <c r="C196" s="70">
        <v>0.03</v>
      </c>
      <c r="D196" s="105">
        <f>(D193/(1-C198)*C196)</f>
        <v>132.01</v>
      </c>
    </row>
    <row r="197" spans="1:4" outlineLevel="1" x14ac:dyDescent="0.35">
      <c r="A197" s="153"/>
      <c r="B197" s="63" t="s">
        <v>295</v>
      </c>
      <c r="C197" s="51">
        <v>0.02</v>
      </c>
      <c r="D197" s="105">
        <f>(D193/(1-C198)*C197)</f>
        <v>88.01</v>
      </c>
    </row>
    <row r="198" spans="1:4" outlineLevel="1" x14ac:dyDescent="0.35">
      <c r="A198" s="638" t="s">
        <v>78</v>
      </c>
      <c r="B198" s="643"/>
      <c r="C198" s="52">
        <f>SUM(C195:C197)</f>
        <v>5.6500000000000002E-2</v>
      </c>
      <c r="D198" s="105">
        <f>SUM(D195:D197)</f>
        <v>248.62</v>
      </c>
    </row>
    <row r="199" spans="1:4" x14ac:dyDescent="0.35">
      <c r="A199" s="644" t="s">
        <v>11</v>
      </c>
      <c r="B199" s="645"/>
      <c r="C199" s="53">
        <f>(1+C190)*(1+C192)*(1/(1-C198))-1</f>
        <v>0.20619999999999999</v>
      </c>
      <c r="D199" s="108">
        <f>SUM(D198+D190+D192)</f>
        <v>752.33</v>
      </c>
    </row>
    <row r="200" spans="1:4" x14ac:dyDescent="0.35">
      <c r="A200" s="646"/>
      <c r="B200" s="647"/>
      <c r="C200" s="647"/>
      <c r="D200" s="648"/>
    </row>
    <row r="201" spans="1:4" x14ac:dyDescent="0.35">
      <c r="A201" s="634" t="s">
        <v>79</v>
      </c>
      <c r="B201" s="635"/>
      <c r="C201" s="636"/>
      <c r="D201" s="54" t="s">
        <v>35</v>
      </c>
    </row>
    <row r="202" spans="1:4" x14ac:dyDescent="0.35">
      <c r="A202" s="632" t="s">
        <v>80</v>
      </c>
      <c r="B202" s="637"/>
      <c r="C202" s="637"/>
      <c r="D202" s="633"/>
    </row>
    <row r="203" spans="1:4" x14ac:dyDescent="0.35">
      <c r="A203" s="65" t="s">
        <v>36</v>
      </c>
      <c r="B203" s="632" t="s">
        <v>81</v>
      </c>
      <c r="C203" s="633"/>
      <c r="D203" s="104">
        <f>D39</f>
        <v>1516.17</v>
      </c>
    </row>
    <row r="204" spans="1:4" x14ac:dyDescent="0.35">
      <c r="A204" s="65" t="s">
        <v>16</v>
      </c>
      <c r="B204" s="632" t="s">
        <v>82</v>
      </c>
      <c r="C204" s="633"/>
      <c r="D204" s="104">
        <f>D83</f>
        <v>1247.4100000000001</v>
      </c>
    </row>
    <row r="205" spans="1:4" x14ac:dyDescent="0.35">
      <c r="A205" s="65" t="s">
        <v>17</v>
      </c>
      <c r="B205" s="632" t="s">
        <v>83</v>
      </c>
      <c r="C205" s="633"/>
      <c r="D205" s="104">
        <f>D126</f>
        <v>125.27</v>
      </c>
    </row>
    <row r="206" spans="1:4" x14ac:dyDescent="0.35">
      <c r="A206" s="65" t="s">
        <v>19</v>
      </c>
      <c r="B206" s="632" t="s">
        <v>84</v>
      </c>
      <c r="C206" s="633"/>
      <c r="D206" s="104">
        <f>D172</f>
        <v>289.69</v>
      </c>
    </row>
    <row r="207" spans="1:4" x14ac:dyDescent="0.35">
      <c r="A207" s="65" t="s">
        <v>22</v>
      </c>
      <c r="B207" s="632" t="s">
        <v>85</v>
      </c>
      <c r="C207" s="633"/>
      <c r="D207" s="104">
        <f>D183</f>
        <v>469.41</v>
      </c>
    </row>
    <row r="208" spans="1:4" x14ac:dyDescent="0.4">
      <c r="A208" s="629" t="s">
        <v>86</v>
      </c>
      <c r="B208" s="630"/>
      <c r="C208" s="631"/>
      <c r="D208" s="104">
        <f>SUM(D203:D207)</f>
        <v>3647.95</v>
      </c>
    </row>
    <row r="209" spans="1:4" x14ac:dyDescent="0.35">
      <c r="A209" s="65" t="s">
        <v>87</v>
      </c>
      <c r="B209" s="632" t="s">
        <v>88</v>
      </c>
      <c r="C209" s="633"/>
      <c r="D209" s="104">
        <f>D199</f>
        <v>752.33</v>
      </c>
    </row>
    <row r="210" spans="1:4" x14ac:dyDescent="0.35">
      <c r="A210" s="634" t="s">
        <v>89</v>
      </c>
      <c r="B210" s="635"/>
      <c r="C210" s="636"/>
      <c r="D210" s="154">
        <f xml:space="preserve"> D208+D209</f>
        <v>4400.28</v>
      </c>
    </row>
    <row r="211" spans="1:4" x14ac:dyDescent="0.4">
      <c r="A211" s="24"/>
      <c r="B211" s="24"/>
      <c r="C211" s="24"/>
      <c r="D211" s="24"/>
    </row>
    <row r="212" spans="1:4" thickBot="1" x14ac:dyDescent="0.4">
      <c r="A212" s="17"/>
      <c r="B212" s="17"/>
      <c r="C212" s="17"/>
      <c r="D212" s="17"/>
    </row>
    <row r="213" spans="1:4" x14ac:dyDescent="0.35">
      <c r="A213" s="702" t="s">
        <v>274</v>
      </c>
      <c r="B213" s="703"/>
      <c r="C213" s="703"/>
      <c r="D213" s="704"/>
    </row>
    <row r="214" spans="1:4" ht="30" x14ac:dyDescent="0.35">
      <c r="A214" s="170" t="s">
        <v>275</v>
      </c>
      <c r="B214" s="171" t="s">
        <v>278</v>
      </c>
      <c r="C214" s="172" t="s">
        <v>276</v>
      </c>
      <c r="D214" s="173" t="s">
        <v>277</v>
      </c>
    </row>
    <row r="215" spans="1:4" ht="15.5" thickBot="1" x14ac:dyDescent="0.4">
      <c r="A215" s="174">
        <v>1</v>
      </c>
      <c r="B215" s="178">
        <f>1/(C11/A215)</f>
        <v>8.253821519E-4</v>
      </c>
      <c r="C215" s="175">
        <f>D210</f>
        <v>4400.28</v>
      </c>
      <c r="D215" s="181">
        <f>C215*B215</f>
        <v>3.6319125749999999</v>
      </c>
    </row>
  </sheetData>
  <mergeCells count="108">
    <mergeCell ref="B206:C206"/>
    <mergeCell ref="B207:C207"/>
    <mergeCell ref="A208:C208"/>
    <mergeCell ref="B209:C209"/>
    <mergeCell ref="A210:C210"/>
    <mergeCell ref="A213:D213"/>
    <mergeCell ref="A200:D200"/>
    <mergeCell ref="A201:C201"/>
    <mergeCell ref="A202:D202"/>
    <mergeCell ref="B203:C203"/>
    <mergeCell ref="B204:C204"/>
    <mergeCell ref="B205:C205"/>
    <mergeCell ref="A188:D188"/>
    <mergeCell ref="A191:C191"/>
    <mergeCell ref="A193:C193"/>
    <mergeCell ref="B194:D194"/>
    <mergeCell ref="A198:B198"/>
    <mergeCell ref="A199:B199"/>
    <mergeCell ref="B182:C182"/>
    <mergeCell ref="A183:C183"/>
    <mergeCell ref="A184:D184"/>
    <mergeCell ref="A185:C185"/>
    <mergeCell ref="A186:D186"/>
    <mergeCell ref="A187:D187"/>
    <mergeCell ref="B176:C176"/>
    <mergeCell ref="B177:C177"/>
    <mergeCell ref="B178:C178"/>
    <mergeCell ref="B179:C179"/>
    <mergeCell ref="B180:C180"/>
    <mergeCell ref="B181:C181"/>
    <mergeCell ref="A168:D168"/>
    <mergeCell ref="A169:B169"/>
    <mergeCell ref="A172:C172"/>
    <mergeCell ref="A173:D173"/>
    <mergeCell ref="A174:D174"/>
    <mergeCell ref="A175:D175"/>
    <mergeCell ref="A155:D155"/>
    <mergeCell ref="A156:B156"/>
    <mergeCell ref="A157:A164"/>
    <mergeCell ref="A165:B165"/>
    <mergeCell ref="A166:D166"/>
    <mergeCell ref="A167:B167"/>
    <mergeCell ref="A138:B138"/>
    <mergeCell ref="A139:D139"/>
    <mergeCell ref="A140:A144"/>
    <mergeCell ref="A145:B145"/>
    <mergeCell ref="A146:D146"/>
    <mergeCell ref="A154:B154"/>
    <mergeCell ref="A123:B123"/>
    <mergeCell ref="A124:B124"/>
    <mergeCell ref="A126:B126"/>
    <mergeCell ref="A127:D127"/>
    <mergeCell ref="A128:D128"/>
    <mergeCell ref="A129:D129"/>
    <mergeCell ref="A112:D112"/>
    <mergeCell ref="A116:B116"/>
    <mergeCell ref="A117:D117"/>
    <mergeCell ref="A118:B118"/>
    <mergeCell ref="A121:C121"/>
    <mergeCell ref="A122:B122"/>
    <mergeCell ref="A84:D84"/>
    <mergeCell ref="A85:D85"/>
    <mergeCell ref="A86:D86"/>
    <mergeCell ref="A99:B99"/>
    <mergeCell ref="A100:D100"/>
    <mergeCell ref="A111:B111"/>
    <mergeCell ref="A63:B63"/>
    <mergeCell ref="A64:D64"/>
    <mergeCell ref="A77:C77"/>
    <mergeCell ref="A78:D78"/>
    <mergeCell ref="A79:B79"/>
    <mergeCell ref="A83:C83"/>
    <mergeCell ref="A45:B45"/>
    <mergeCell ref="A46:D46"/>
    <mergeCell ref="A47:D47"/>
    <mergeCell ref="A48:D48"/>
    <mergeCell ref="A52:B52"/>
    <mergeCell ref="A53:D53"/>
    <mergeCell ref="A23:D23"/>
    <mergeCell ref="A24:D24"/>
    <mergeCell ref="A25:D25"/>
    <mergeCell ref="B26:C26"/>
    <mergeCell ref="A39:C39"/>
    <mergeCell ref="A40:D40"/>
    <mergeCell ref="C17:D17"/>
    <mergeCell ref="A18:D18"/>
    <mergeCell ref="B19:C19"/>
    <mergeCell ref="B20:C20"/>
    <mergeCell ref="B21:C21"/>
    <mergeCell ref="B22:C22"/>
    <mergeCell ref="C11:D11"/>
    <mergeCell ref="C12:D12"/>
    <mergeCell ref="A13:D13"/>
    <mergeCell ref="A14:D14"/>
    <mergeCell ref="A15:D15"/>
    <mergeCell ref="C16:D16"/>
    <mergeCell ref="A5:D5"/>
    <mergeCell ref="C6:D6"/>
    <mergeCell ref="C7:D7"/>
    <mergeCell ref="C8:D8"/>
    <mergeCell ref="C9:D9"/>
    <mergeCell ref="C10:D10"/>
    <mergeCell ref="A1:D1"/>
    <mergeCell ref="A2:B2"/>
    <mergeCell ref="C2:D2"/>
    <mergeCell ref="A3:B3"/>
    <mergeCell ref="C3:D3"/>
    <mergeCell ref="A4:D4"/>
  </mergeCells>
  <pageMargins left="0.51181102362204722" right="0.51181102362204722" top="0.78740157480314965" bottom="0.78740157480314965" header="0.31496062992125984" footer="0.31496062992125984"/>
  <pageSetup scale="21" orientation="portrait" horizontalDpi="30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304ED3-10D2-4884-B6EC-CBDAAC470519}">
  <sheetPr>
    <pageSetUpPr fitToPage="1"/>
  </sheetPr>
  <dimension ref="A1:D215"/>
  <sheetViews>
    <sheetView view="pageBreakPreview" topLeftCell="A187" zoomScale="85" zoomScaleNormal="85" zoomScaleSheetLayoutView="85" workbookViewId="0">
      <selection activeCell="D67" sqref="D67"/>
    </sheetView>
  </sheetViews>
  <sheetFormatPr defaultColWidth="9.1796875" defaultRowHeight="15" customHeight="1" outlineLevelRow="3" x14ac:dyDescent="0.35"/>
  <cols>
    <col min="1" max="1" width="16.7265625" customWidth="1"/>
    <col min="2" max="2" width="76.81640625" customWidth="1"/>
    <col min="3" max="3" width="22.81640625" customWidth="1"/>
    <col min="4" max="4" width="23.54296875" customWidth="1"/>
  </cols>
  <sheetData>
    <row r="1" spans="1:4" x14ac:dyDescent="0.35">
      <c r="A1" s="683" t="s">
        <v>6</v>
      </c>
      <c r="B1" s="683"/>
      <c r="C1" s="683"/>
      <c r="D1" s="683"/>
    </row>
    <row r="2" spans="1:4" x14ac:dyDescent="0.35">
      <c r="A2" s="684" t="s">
        <v>12</v>
      </c>
      <c r="B2" s="684"/>
      <c r="C2" s="685" t="s">
        <v>521</v>
      </c>
      <c r="D2" s="686"/>
    </row>
    <row r="3" spans="1:4" x14ac:dyDescent="0.35">
      <c r="A3" s="684" t="s">
        <v>13</v>
      </c>
      <c r="B3" s="684"/>
      <c r="C3" s="685" t="s">
        <v>270</v>
      </c>
      <c r="D3" s="686"/>
    </row>
    <row r="4" spans="1:4" x14ac:dyDescent="0.35">
      <c r="A4" s="687"/>
      <c r="B4" s="687"/>
      <c r="C4" s="687"/>
      <c r="D4" s="687"/>
    </row>
    <row r="5" spans="1:4" x14ac:dyDescent="0.35">
      <c r="A5" s="687" t="s">
        <v>14</v>
      </c>
      <c r="B5" s="687"/>
      <c r="C5" s="687"/>
      <c r="D5" s="687"/>
    </row>
    <row r="6" spans="1:4" x14ac:dyDescent="0.35">
      <c r="A6" s="65" t="s">
        <v>15</v>
      </c>
      <c r="B6" s="63" t="s">
        <v>5</v>
      </c>
      <c r="C6" s="707" t="s">
        <v>144</v>
      </c>
      <c r="D6" s="708"/>
    </row>
    <row r="7" spans="1:4" x14ac:dyDescent="0.35">
      <c r="A7" s="65" t="s">
        <v>16</v>
      </c>
      <c r="B7" s="63" t="s">
        <v>4</v>
      </c>
      <c r="C7" s="690" t="s">
        <v>502</v>
      </c>
      <c r="D7" s="690"/>
    </row>
    <row r="8" spans="1:4" x14ac:dyDescent="0.35">
      <c r="A8" s="25" t="s">
        <v>17</v>
      </c>
      <c r="B8" s="26" t="s">
        <v>18</v>
      </c>
      <c r="C8" s="722" t="s">
        <v>299</v>
      </c>
      <c r="D8" s="723"/>
    </row>
    <row r="9" spans="1:4" x14ac:dyDescent="0.35">
      <c r="A9" s="65" t="s">
        <v>19</v>
      </c>
      <c r="B9" s="63" t="s">
        <v>20</v>
      </c>
      <c r="C9" s="700" t="s">
        <v>21</v>
      </c>
      <c r="D9" s="701"/>
    </row>
    <row r="10" spans="1:4" x14ac:dyDescent="0.35">
      <c r="A10" s="65" t="s">
        <v>22</v>
      </c>
      <c r="B10" s="63" t="s">
        <v>23</v>
      </c>
      <c r="C10" s="700" t="s">
        <v>262</v>
      </c>
      <c r="D10" s="701"/>
    </row>
    <row r="11" spans="1:4" x14ac:dyDescent="0.35">
      <c r="A11" s="65" t="s">
        <v>24</v>
      </c>
      <c r="B11" s="63" t="s">
        <v>251</v>
      </c>
      <c r="C11" s="691">
        <f>Resumo!F12</f>
        <v>15238.6</v>
      </c>
      <c r="D11" s="692"/>
    </row>
    <row r="12" spans="1:4" x14ac:dyDescent="0.35">
      <c r="A12" s="65" t="s">
        <v>25</v>
      </c>
      <c r="B12" s="63" t="s">
        <v>26</v>
      </c>
      <c r="C12" s="693">
        <f>Resumo!I5</f>
        <v>20</v>
      </c>
      <c r="D12" s="694"/>
    </row>
    <row r="13" spans="1:4" x14ac:dyDescent="0.35">
      <c r="A13" s="695"/>
      <c r="B13" s="696"/>
      <c r="C13" s="696"/>
      <c r="D13" s="696"/>
    </row>
    <row r="14" spans="1:4" x14ac:dyDescent="0.35">
      <c r="A14" s="697" t="s">
        <v>27</v>
      </c>
      <c r="B14" s="698"/>
      <c r="C14" s="698"/>
      <c r="D14" s="699"/>
    </row>
    <row r="15" spans="1:4" x14ac:dyDescent="0.35">
      <c r="A15" s="690" t="s">
        <v>28</v>
      </c>
      <c r="B15" s="690"/>
      <c r="C15" s="690"/>
      <c r="D15" s="690"/>
    </row>
    <row r="16" spans="1:4" x14ac:dyDescent="0.35">
      <c r="A16" s="65">
        <v>1</v>
      </c>
      <c r="B16" s="63" t="s">
        <v>29</v>
      </c>
      <c r="C16" s="700" t="s">
        <v>266</v>
      </c>
      <c r="D16" s="701" t="s">
        <v>0</v>
      </c>
    </row>
    <row r="17" spans="1:4" x14ac:dyDescent="0.35">
      <c r="A17" s="65">
        <v>2</v>
      </c>
      <c r="B17" s="27" t="s">
        <v>30</v>
      </c>
      <c r="C17" s="688" t="s">
        <v>263</v>
      </c>
      <c r="D17" s="689"/>
    </row>
    <row r="18" spans="1:4" x14ac:dyDescent="0.35">
      <c r="A18" s="690" t="s">
        <v>31</v>
      </c>
      <c r="B18" s="690"/>
      <c r="C18" s="690"/>
      <c r="D18" s="690"/>
    </row>
    <row r="19" spans="1:4" x14ac:dyDescent="0.4">
      <c r="A19" s="65">
        <v>3</v>
      </c>
      <c r="B19" s="632" t="s">
        <v>3</v>
      </c>
      <c r="C19" s="633"/>
      <c r="D19" s="103">
        <v>1325</v>
      </c>
    </row>
    <row r="20" spans="1:4" x14ac:dyDescent="0.4">
      <c r="A20" s="65">
        <v>4</v>
      </c>
      <c r="B20" s="632" t="s">
        <v>252</v>
      </c>
      <c r="C20" s="633"/>
      <c r="D20" s="155">
        <v>220</v>
      </c>
    </row>
    <row r="21" spans="1:4" x14ac:dyDescent="0.35">
      <c r="A21" s="65">
        <v>5</v>
      </c>
      <c r="B21" s="632" t="s">
        <v>32</v>
      </c>
      <c r="C21" s="633"/>
      <c r="D21" s="73" t="s">
        <v>267</v>
      </c>
    </row>
    <row r="22" spans="1:4" x14ac:dyDescent="0.35">
      <c r="A22" s="65">
        <v>6</v>
      </c>
      <c r="B22" s="632" t="s">
        <v>2</v>
      </c>
      <c r="C22" s="633"/>
      <c r="D22" s="74">
        <v>44562</v>
      </c>
    </row>
    <row r="23" spans="1:4" x14ac:dyDescent="0.35">
      <c r="A23" s="700"/>
      <c r="B23" s="711"/>
      <c r="C23" s="711"/>
      <c r="D23" s="701"/>
    </row>
    <row r="24" spans="1:4" x14ac:dyDescent="0.35">
      <c r="A24" s="712" t="s">
        <v>33</v>
      </c>
      <c r="B24" s="712"/>
      <c r="C24" s="712"/>
      <c r="D24" s="712"/>
    </row>
    <row r="25" spans="1:4" x14ac:dyDescent="0.35">
      <c r="A25" s="713"/>
      <c r="B25" s="714"/>
      <c r="C25" s="714"/>
      <c r="D25" s="694"/>
    </row>
    <row r="26" spans="1:4" x14ac:dyDescent="0.35">
      <c r="A26" s="64">
        <v>1</v>
      </c>
      <c r="B26" s="634" t="s">
        <v>34</v>
      </c>
      <c r="C26" s="636"/>
      <c r="D26" s="64" t="s">
        <v>35</v>
      </c>
    </row>
    <row r="27" spans="1:4" outlineLevel="1" x14ac:dyDescent="0.35">
      <c r="A27" s="65" t="s">
        <v>36</v>
      </c>
      <c r="B27" s="63" t="s">
        <v>146</v>
      </c>
      <c r="C27" s="71">
        <f>'SR - ASG int'!C27</f>
        <v>220</v>
      </c>
      <c r="D27" s="104">
        <f>D19/220*C27</f>
        <v>1325</v>
      </c>
    </row>
    <row r="28" spans="1:4" outlineLevel="1" x14ac:dyDescent="0.35">
      <c r="A28" s="65" t="s">
        <v>16</v>
      </c>
      <c r="B28" s="63" t="s">
        <v>147</v>
      </c>
      <c r="C28" s="28">
        <v>0.1</v>
      </c>
      <c r="D28" s="104">
        <f>D27*10%</f>
        <v>132.5</v>
      </c>
    </row>
    <row r="29" spans="1:4" outlineLevel="1" x14ac:dyDescent="0.35">
      <c r="A29" s="65" t="s">
        <v>17</v>
      </c>
      <c r="B29" s="63" t="s">
        <v>38</v>
      </c>
      <c r="C29" s="28">
        <v>0.4</v>
      </c>
      <c r="D29" s="104">
        <v>0</v>
      </c>
    </row>
    <row r="30" spans="1:4" outlineLevel="1" x14ac:dyDescent="0.35">
      <c r="A30" s="65" t="s">
        <v>19</v>
      </c>
      <c r="B30" s="63" t="s">
        <v>148</v>
      </c>
      <c r="C30" s="156">
        <v>0</v>
      </c>
      <c r="D30" s="105">
        <f>SUM(D31:D32)</f>
        <v>0</v>
      </c>
    </row>
    <row r="31" spans="1:4" outlineLevel="2" x14ac:dyDescent="0.35">
      <c r="A31" s="78" t="s">
        <v>111</v>
      </c>
      <c r="B31" s="63" t="s">
        <v>149</v>
      </c>
      <c r="C31" s="79">
        <v>0.2</v>
      </c>
      <c r="D31" s="105">
        <f>(SUM(D27:D29)/C27)*C31*15*C30</f>
        <v>0</v>
      </c>
    </row>
    <row r="32" spans="1:4" outlineLevel="2" x14ac:dyDescent="0.35">
      <c r="A32" s="78" t="s">
        <v>112</v>
      </c>
      <c r="B32" s="63" t="s">
        <v>150</v>
      </c>
      <c r="C32" s="80">
        <f>C30*(60/52.5)/8</f>
        <v>0</v>
      </c>
      <c r="D32" s="105">
        <f>(SUM(D27:D29)/C27)*(C31)*15*C32</f>
        <v>0</v>
      </c>
    </row>
    <row r="33" spans="1:4" outlineLevel="1" x14ac:dyDescent="0.35">
      <c r="A33" s="65" t="s">
        <v>22</v>
      </c>
      <c r="B33" s="63" t="s">
        <v>151</v>
      </c>
      <c r="C33" s="28" t="s">
        <v>152</v>
      </c>
      <c r="D33" s="1">
        <f>SUM(D34:D37)</f>
        <v>0</v>
      </c>
    </row>
    <row r="34" spans="1:4" outlineLevel="2" x14ac:dyDescent="0.35">
      <c r="A34" s="81" t="s">
        <v>153</v>
      </c>
      <c r="B34" s="82" t="s">
        <v>154</v>
      </c>
      <c r="C34" s="83">
        <v>0</v>
      </c>
      <c r="D34" s="106">
        <f>(SUM($D$27:$D$29)/$C$27)*C34*1.5</f>
        <v>0</v>
      </c>
    </row>
    <row r="35" spans="1:4" outlineLevel="2" x14ac:dyDescent="0.35">
      <c r="A35" s="81" t="s">
        <v>155</v>
      </c>
      <c r="B35" s="84" t="s">
        <v>156</v>
      </c>
      <c r="C35" s="85">
        <v>0</v>
      </c>
      <c r="D35" s="106">
        <f>(SUM($D$27:$D$29)/$C$27)*C35*((60/52.5)*1.2*1.5)</f>
        <v>0</v>
      </c>
    </row>
    <row r="36" spans="1:4" outlineLevel="2" x14ac:dyDescent="0.35">
      <c r="A36" s="81" t="s">
        <v>157</v>
      </c>
      <c r="B36" s="82" t="s">
        <v>158</v>
      </c>
      <c r="C36" s="86">
        <f>C34*0.1429</f>
        <v>0</v>
      </c>
      <c r="D36" s="106">
        <f>(SUM($D$27:$D$29)/$C$27)*C36*2</f>
        <v>0</v>
      </c>
    </row>
    <row r="37" spans="1:4" outlineLevel="2" x14ac:dyDescent="0.35">
      <c r="A37" s="81" t="s">
        <v>159</v>
      </c>
      <c r="B37" s="82" t="s">
        <v>160</v>
      </c>
      <c r="C37" s="86">
        <f>C34*0.1429</f>
        <v>0</v>
      </c>
      <c r="D37" s="106">
        <f>(SUM($D$27:$D$29)/$C$27)*C37*((60/52.5)*1.2*2)</f>
        <v>0</v>
      </c>
    </row>
    <row r="38" spans="1:4" outlineLevel="1" x14ac:dyDescent="0.35">
      <c r="A38" s="65" t="s">
        <v>24</v>
      </c>
      <c r="B38" s="55" t="s">
        <v>525</v>
      </c>
      <c r="C38" s="56">
        <v>0</v>
      </c>
      <c r="D38" s="107">
        <v>293.64999999999998</v>
      </c>
    </row>
    <row r="39" spans="1:4" x14ac:dyDescent="0.35">
      <c r="A39" s="634" t="s">
        <v>40</v>
      </c>
      <c r="B39" s="635"/>
      <c r="C39" s="636"/>
      <c r="D39" s="108">
        <f>SUM(D27:D30,D33,D38)</f>
        <v>1751.15</v>
      </c>
    </row>
    <row r="40" spans="1:4" x14ac:dyDescent="0.35">
      <c r="A40" s="650"/>
      <c r="B40" s="650"/>
      <c r="C40" s="650"/>
      <c r="D40" s="650"/>
    </row>
    <row r="41" spans="1:4" outlineLevel="1" x14ac:dyDescent="0.35">
      <c r="A41" s="87" t="s">
        <v>161</v>
      </c>
      <c r="B41" s="109" t="s">
        <v>162</v>
      </c>
      <c r="C41" s="110" t="s">
        <v>163</v>
      </c>
      <c r="D41" s="110" t="s">
        <v>35</v>
      </c>
    </row>
    <row r="42" spans="1:4" outlineLevel="1" x14ac:dyDescent="0.35">
      <c r="A42" s="111" t="s">
        <v>36</v>
      </c>
      <c r="B42" s="27" t="s">
        <v>164</v>
      </c>
      <c r="C42" s="88">
        <v>0</v>
      </c>
      <c r="D42" s="112">
        <f>(SUM(D27)/$C$27)*C42*1.5</f>
        <v>0</v>
      </c>
    </row>
    <row r="43" spans="1:4" outlineLevel="1" x14ac:dyDescent="0.35">
      <c r="A43" s="113" t="s">
        <v>17</v>
      </c>
      <c r="B43" s="114" t="s">
        <v>165</v>
      </c>
      <c r="C43" s="115">
        <v>0</v>
      </c>
      <c r="D43" s="104">
        <f>C43*177</f>
        <v>0</v>
      </c>
    </row>
    <row r="44" spans="1:4" outlineLevel="1" x14ac:dyDescent="0.35">
      <c r="A44" s="65" t="s">
        <v>19</v>
      </c>
      <c r="B44" s="55" t="s">
        <v>39</v>
      </c>
      <c r="C44" s="56">
        <v>0</v>
      </c>
      <c r="D44" s="107">
        <v>0</v>
      </c>
    </row>
    <row r="45" spans="1:4" x14ac:dyDescent="0.35">
      <c r="A45" s="644" t="s">
        <v>166</v>
      </c>
      <c r="B45" s="645"/>
      <c r="C45" s="30">
        <f>D45/D39</f>
        <v>0</v>
      </c>
      <c r="D45" s="116">
        <f>SUM(D42:D43)</f>
        <v>0</v>
      </c>
    </row>
    <row r="46" spans="1:4" x14ac:dyDescent="0.35">
      <c r="A46" s="646"/>
      <c r="B46" s="647"/>
      <c r="C46" s="647"/>
      <c r="D46" s="648"/>
    </row>
    <row r="47" spans="1:4" x14ac:dyDescent="0.35">
      <c r="A47" s="663" t="s">
        <v>41</v>
      </c>
      <c r="B47" s="664"/>
      <c r="C47" s="664"/>
      <c r="D47" s="665"/>
    </row>
    <row r="48" spans="1:4" outlineLevel="1" x14ac:dyDescent="0.35">
      <c r="A48" s="646"/>
      <c r="B48" s="647"/>
      <c r="C48" s="647"/>
      <c r="D48" s="648"/>
    </row>
    <row r="49" spans="1:4" outlineLevel="1" x14ac:dyDescent="0.35">
      <c r="A49" s="110" t="s">
        <v>42</v>
      </c>
      <c r="B49" s="109" t="s">
        <v>43</v>
      </c>
      <c r="C49" s="110" t="s">
        <v>44</v>
      </c>
      <c r="D49" s="110" t="s">
        <v>35</v>
      </c>
    </row>
    <row r="50" spans="1:4" outlineLevel="2" x14ac:dyDescent="0.35">
      <c r="A50" s="113" t="s">
        <v>36</v>
      </c>
      <c r="B50" s="114" t="s">
        <v>45</v>
      </c>
      <c r="C50" s="29">
        <f>1/12</f>
        <v>8.3299999999999999E-2</v>
      </c>
      <c r="D50" s="104">
        <f>C50*D39</f>
        <v>145.87</v>
      </c>
    </row>
    <row r="51" spans="1:4" outlineLevel="2" x14ac:dyDescent="0.35">
      <c r="A51" s="113" t="s">
        <v>16</v>
      </c>
      <c r="B51" s="114" t="s">
        <v>113</v>
      </c>
      <c r="C51" s="29">
        <f>IF(C12&gt;60,(1/C12/3)*5,IF(C12&gt;48,(1/C12/3)*4,IF(C12&gt;36,(1/C12/3)*3,IF(C12&gt;24,(1/C12/3)*2,IF(C12&gt;12,(1/C12/3)*1,0)))))</f>
        <v>1.67E-2</v>
      </c>
      <c r="D51" s="104">
        <f>C51*D39</f>
        <v>29.24</v>
      </c>
    </row>
    <row r="52" spans="1:4" outlineLevel="1" x14ac:dyDescent="0.35">
      <c r="A52" s="644" t="s">
        <v>11</v>
      </c>
      <c r="B52" s="645"/>
      <c r="C52" s="30">
        <f>SUM(C50:C51)</f>
        <v>0.1</v>
      </c>
      <c r="D52" s="116">
        <f>SUM(D50:D51)</f>
        <v>175.11</v>
      </c>
    </row>
    <row r="53" spans="1:4" outlineLevel="1" x14ac:dyDescent="0.35">
      <c r="A53" s="646"/>
      <c r="B53" s="647"/>
      <c r="C53" s="647"/>
      <c r="D53" s="648"/>
    </row>
    <row r="54" spans="1:4" outlineLevel="1" x14ac:dyDescent="0.35">
      <c r="A54" s="110" t="s">
        <v>46</v>
      </c>
      <c r="B54" s="117" t="s">
        <v>47</v>
      </c>
      <c r="C54" s="110" t="s">
        <v>44</v>
      </c>
      <c r="D54" s="118" t="s">
        <v>35</v>
      </c>
    </row>
    <row r="55" spans="1:4" outlineLevel="2" x14ac:dyDescent="0.35">
      <c r="A55" s="111" t="s">
        <v>36</v>
      </c>
      <c r="B55" s="31" t="s">
        <v>48</v>
      </c>
      <c r="C55" s="32">
        <v>0.2</v>
      </c>
      <c r="D55" s="104">
        <f t="shared" ref="D55:D62" si="0">C55*($D$39+$D$52)</f>
        <v>385.25</v>
      </c>
    </row>
    <row r="56" spans="1:4" outlineLevel="2" x14ac:dyDescent="0.35">
      <c r="A56" s="111" t="s">
        <v>16</v>
      </c>
      <c r="B56" s="31" t="s">
        <v>49</v>
      </c>
      <c r="C56" s="32">
        <v>2.5000000000000001E-2</v>
      </c>
      <c r="D56" s="104">
        <f t="shared" si="0"/>
        <v>48.16</v>
      </c>
    </row>
    <row r="57" spans="1:4" outlineLevel="2" x14ac:dyDescent="0.35">
      <c r="A57" s="111" t="s">
        <v>17</v>
      </c>
      <c r="B57" s="31" t="s">
        <v>167</v>
      </c>
      <c r="C57" s="66">
        <v>0.03</v>
      </c>
      <c r="D57" s="104">
        <f t="shared" si="0"/>
        <v>57.79</v>
      </c>
    </row>
    <row r="58" spans="1:4" outlineLevel="2" x14ac:dyDescent="0.35">
      <c r="A58" s="111" t="s">
        <v>19</v>
      </c>
      <c r="B58" s="31" t="s">
        <v>168</v>
      </c>
      <c r="C58" s="32">
        <v>1.4999999999999999E-2</v>
      </c>
      <c r="D58" s="104">
        <f t="shared" si="0"/>
        <v>28.89</v>
      </c>
    </row>
    <row r="59" spans="1:4" outlineLevel="2" x14ac:dyDescent="0.35">
      <c r="A59" s="111" t="s">
        <v>22</v>
      </c>
      <c r="B59" s="31" t="s">
        <v>169</v>
      </c>
      <c r="C59" s="32">
        <v>0.01</v>
      </c>
      <c r="D59" s="104">
        <f t="shared" si="0"/>
        <v>19.260000000000002</v>
      </c>
    </row>
    <row r="60" spans="1:4" outlineLevel="2" x14ac:dyDescent="0.35">
      <c r="A60" s="111" t="s">
        <v>24</v>
      </c>
      <c r="B60" s="31" t="s">
        <v>50</v>
      </c>
      <c r="C60" s="32">
        <v>6.0000000000000001E-3</v>
      </c>
      <c r="D60" s="104">
        <f t="shared" si="0"/>
        <v>11.56</v>
      </c>
    </row>
    <row r="61" spans="1:4" outlineLevel="2" x14ac:dyDescent="0.35">
      <c r="A61" s="111" t="s">
        <v>25</v>
      </c>
      <c r="B61" s="31" t="s">
        <v>51</v>
      </c>
      <c r="C61" s="32">
        <v>2E-3</v>
      </c>
      <c r="D61" s="104">
        <f t="shared" si="0"/>
        <v>3.85</v>
      </c>
    </row>
    <row r="62" spans="1:4" outlineLevel="2" x14ac:dyDescent="0.35">
      <c r="A62" s="111" t="s">
        <v>52</v>
      </c>
      <c r="B62" s="31" t="s">
        <v>53</v>
      </c>
      <c r="C62" s="32">
        <v>0.08</v>
      </c>
      <c r="D62" s="104">
        <f t="shared" si="0"/>
        <v>154.1</v>
      </c>
    </row>
    <row r="63" spans="1:4" outlineLevel="1" x14ac:dyDescent="0.35">
      <c r="A63" s="644" t="s">
        <v>11</v>
      </c>
      <c r="B63" s="645"/>
      <c r="C63" s="33">
        <f>SUM(C55:C62)</f>
        <v>0.36799999999999999</v>
      </c>
      <c r="D63" s="119">
        <f>SUM(D55:D62)</f>
        <v>708.86</v>
      </c>
    </row>
    <row r="64" spans="1:4" outlineLevel="1" x14ac:dyDescent="0.35">
      <c r="A64" s="646"/>
      <c r="B64" s="647"/>
      <c r="C64" s="647"/>
      <c r="D64" s="648"/>
    </row>
    <row r="65" spans="1:4" outlineLevel="1" x14ac:dyDescent="0.35">
      <c r="A65" s="110" t="s">
        <v>54</v>
      </c>
      <c r="B65" s="117" t="s">
        <v>55</v>
      </c>
      <c r="C65" s="110" t="s">
        <v>56</v>
      </c>
      <c r="D65" s="110" t="s">
        <v>35</v>
      </c>
    </row>
    <row r="66" spans="1:4" outlineLevel="2" x14ac:dyDescent="0.35">
      <c r="A66" s="111" t="s">
        <v>36</v>
      </c>
      <c r="B66" s="31" t="s">
        <v>57</v>
      </c>
      <c r="C66" s="120">
        <f>DRS!C66</f>
        <v>3.25</v>
      </c>
      <c r="D66" s="121">
        <f>IF(D67+D68&gt;0,(D67+D68),0)</f>
        <v>63.5</v>
      </c>
    </row>
    <row r="67" spans="1:4" outlineLevel="3" x14ac:dyDescent="0.35">
      <c r="A67" s="122" t="s">
        <v>110</v>
      </c>
      <c r="B67" s="31" t="s">
        <v>170</v>
      </c>
      <c r="C67" s="123">
        <v>22</v>
      </c>
      <c r="D67" s="124">
        <f>C66*C67*2</f>
        <v>143</v>
      </c>
    </row>
    <row r="68" spans="1:4" outlineLevel="3" x14ac:dyDescent="0.35">
      <c r="A68" s="122" t="s">
        <v>114</v>
      </c>
      <c r="B68" s="31" t="s">
        <v>171</v>
      </c>
      <c r="C68" s="125">
        <v>0.06</v>
      </c>
      <c r="D68" s="124">
        <f>-D27*C68</f>
        <v>-79.5</v>
      </c>
    </row>
    <row r="69" spans="1:4" outlineLevel="2" x14ac:dyDescent="0.35">
      <c r="A69" s="111" t="s">
        <v>16</v>
      </c>
      <c r="B69" s="31" t="s">
        <v>58</v>
      </c>
      <c r="C69" s="382">
        <f>290/22</f>
        <v>13.182</v>
      </c>
      <c r="D69" s="121">
        <f>D70+D71</f>
        <v>290</v>
      </c>
    </row>
    <row r="70" spans="1:4" outlineLevel="3" x14ac:dyDescent="0.35">
      <c r="A70" s="122" t="s">
        <v>90</v>
      </c>
      <c r="B70" s="31" t="s">
        <v>172</v>
      </c>
      <c r="C70" s="123">
        <v>22</v>
      </c>
      <c r="D70" s="124">
        <f>C69*C70</f>
        <v>290</v>
      </c>
    </row>
    <row r="71" spans="1:4" outlineLevel="3" x14ac:dyDescent="0.35">
      <c r="A71" s="122" t="s">
        <v>115</v>
      </c>
      <c r="B71" s="31" t="s">
        <v>91</v>
      </c>
      <c r="C71" s="127">
        <f>'SR - ASG int'!C71</f>
        <v>0</v>
      </c>
      <c r="D71" s="124">
        <f>D70*C71</f>
        <v>0</v>
      </c>
    </row>
    <row r="72" spans="1:4" outlineLevel="2" x14ac:dyDescent="0.35">
      <c r="A72" s="111" t="s">
        <v>17</v>
      </c>
      <c r="B72" s="75" t="s">
        <v>291</v>
      </c>
      <c r="C72" s="126">
        <f>'SR - ASG int'!C72</f>
        <v>9.6999999999999993</v>
      </c>
      <c r="D72" s="129">
        <f>C72</f>
        <v>9.6999999999999993</v>
      </c>
    </row>
    <row r="73" spans="1:4" outlineLevel="2" x14ac:dyDescent="0.35">
      <c r="A73" s="111" t="s">
        <v>19</v>
      </c>
      <c r="B73" s="76" t="s">
        <v>293</v>
      </c>
      <c r="C73" s="126">
        <f>140*3</f>
        <v>420</v>
      </c>
      <c r="D73" s="129">
        <f>C73*C152</f>
        <v>0.84</v>
      </c>
    </row>
    <row r="74" spans="1:4" outlineLevel="2" x14ac:dyDescent="0.35">
      <c r="A74" s="111" t="s">
        <v>22</v>
      </c>
      <c r="B74" s="75" t="s">
        <v>292</v>
      </c>
      <c r="C74" s="126">
        <v>21</v>
      </c>
      <c r="D74" s="129">
        <f>C74</f>
        <v>21</v>
      </c>
    </row>
    <row r="75" spans="1:4" outlineLevel="2" x14ac:dyDescent="0.35">
      <c r="A75" s="111" t="s">
        <v>24</v>
      </c>
      <c r="B75" s="75" t="s">
        <v>554</v>
      </c>
      <c r="C75" s="128">
        <v>0</v>
      </c>
      <c r="D75" s="129">
        <v>97</v>
      </c>
    </row>
    <row r="76" spans="1:4" outlineLevel="2" x14ac:dyDescent="0.35">
      <c r="A76" s="111" t="s">
        <v>25</v>
      </c>
      <c r="B76" s="75" t="s">
        <v>39</v>
      </c>
      <c r="C76" s="126">
        <v>0</v>
      </c>
      <c r="D76" s="130">
        <f>C76</f>
        <v>0</v>
      </c>
    </row>
    <row r="77" spans="1:4" outlineLevel="1" x14ac:dyDescent="0.35">
      <c r="A77" s="644" t="s">
        <v>59</v>
      </c>
      <c r="B77" s="657"/>
      <c r="C77" s="645"/>
      <c r="D77" s="116">
        <f>SUM(D66,D69,D72:D76)</f>
        <v>482.04</v>
      </c>
    </row>
    <row r="78" spans="1:4" outlineLevel="1" x14ac:dyDescent="0.35">
      <c r="A78" s="646"/>
      <c r="B78" s="647"/>
      <c r="C78" s="647"/>
      <c r="D78" s="648"/>
    </row>
    <row r="79" spans="1:4" outlineLevel="1" x14ac:dyDescent="0.35">
      <c r="A79" s="661" t="s">
        <v>60</v>
      </c>
      <c r="B79" s="662"/>
      <c r="C79" s="110" t="s">
        <v>44</v>
      </c>
      <c r="D79" s="110" t="s">
        <v>35</v>
      </c>
    </row>
    <row r="80" spans="1:4" outlineLevel="1" x14ac:dyDescent="0.35">
      <c r="A80" s="111" t="s">
        <v>61</v>
      </c>
      <c r="B80" s="31" t="s">
        <v>43</v>
      </c>
      <c r="C80" s="34">
        <f>C52</f>
        <v>0.1</v>
      </c>
      <c r="D80" s="104">
        <f>D52</f>
        <v>175.11</v>
      </c>
    </row>
    <row r="81" spans="1:4" outlineLevel="1" x14ac:dyDescent="0.35">
      <c r="A81" s="111" t="s">
        <v>46</v>
      </c>
      <c r="B81" s="31" t="s">
        <v>47</v>
      </c>
      <c r="C81" s="34">
        <f>C63</f>
        <v>0.36799999999999999</v>
      </c>
      <c r="D81" s="104">
        <f>D63</f>
        <v>708.86</v>
      </c>
    </row>
    <row r="82" spans="1:4" outlineLevel="1" x14ac:dyDescent="0.35">
      <c r="A82" s="111" t="s">
        <v>62</v>
      </c>
      <c r="B82" s="31" t="s">
        <v>55</v>
      </c>
      <c r="C82" s="34">
        <f>D77/D39</f>
        <v>0.27529999999999999</v>
      </c>
      <c r="D82" s="104">
        <f>D77</f>
        <v>482.04</v>
      </c>
    </row>
    <row r="83" spans="1:4" x14ac:dyDescent="0.35">
      <c r="A83" s="644" t="s">
        <v>11</v>
      </c>
      <c r="B83" s="657"/>
      <c r="C83" s="645"/>
      <c r="D83" s="116">
        <f>SUM(D80:D82)</f>
        <v>1366.01</v>
      </c>
    </row>
    <row r="84" spans="1:4" x14ac:dyDescent="0.35">
      <c r="A84" s="646"/>
      <c r="B84" s="647"/>
      <c r="C84" s="647"/>
      <c r="D84" s="648"/>
    </row>
    <row r="85" spans="1:4" x14ac:dyDescent="0.35">
      <c r="A85" s="680" t="s">
        <v>173</v>
      </c>
      <c r="B85" s="681"/>
      <c r="C85" s="681"/>
      <c r="D85" s="682"/>
    </row>
    <row r="86" spans="1:4" outlineLevel="1" x14ac:dyDescent="0.35">
      <c r="A86" s="646"/>
      <c r="B86" s="647"/>
      <c r="C86" s="647"/>
      <c r="D86" s="648"/>
    </row>
    <row r="87" spans="1:4" outlineLevel="1" x14ac:dyDescent="0.35">
      <c r="A87" s="64" t="s">
        <v>174</v>
      </c>
      <c r="B87" s="109" t="s">
        <v>175</v>
      </c>
      <c r="C87" s="110" t="s">
        <v>44</v>
      </c>
      <c r="D87" s="110" t="s">
        <v>35</v>
      </c>
    </row>
    <row r="88" spans="1:4" outlineLevel="2" x14ac:dyDescent="0.35">
      <c r="A88" s="35" t="s">
        <v>36</v>
      </c>
      <c r="B88" s="36" t="s">
        <v>176</v>
      </c>
      <c r="C88" s="35" t="s">
        <v>152</v>
      </c>
      <c r="D88" s="131">
        <f>IF(C99&gt;1,SUM(D89:D92)*2,SUM(D89:D92))</f>
        <v>2467.6799999999998</v>
      </c>
    </row>
    <row r="89" spans="1:4" outlineLevel="3" x14ac:dyDescent="0.35">
      <c r="A89" s="37" t="s">
        <v>177</v>
      </c>
      <c r="B89" s="38" t="s">
        <v>178</v>
      </c>
      <c r="C89" s="35">
        <f>(IF(C12&gt;60,45,IF(C12&gt;48,42,IF(C12&gt;36,39,IF(C12&gt;24,36,IF(C12&gt;12,33,30)))))/30)</f>
        <v>1.1000000000000001</v>
      </c>
      <c r="D89" s="131">
        <f>D39*C89</f>
        <v>1926.27</v>
      </c>
    </row>
    <row r="90" spans="1:4" outlineLevel="3" x14ac:dyDescent="0.35">
      <c r="A90" s="37" t="s">
        <v>179</v>
      </c>
      <c r="B90" s="38" t="s">
        <v>180</v>
      </c>
      <c r="C90" s="29">
        <f>1/12</f>
        <v>8.3299999999999999E-2</v>
      </c>
      <c r="D90" s="131">
        <f>C90*D89</f>
        <v>160.46</v>
      </c>
    </row>
    <row r="91" spans="1:4" outlineLevel="3" x14ac:dyDescent="0.35">
      <c r="A91" s="37" t="s">
        <v>181</v>
      </c>
      <c r="B91" s="38" t="s">
        <v>182</v>
      </c>
      <c r="C91" s="29">
        <f>(1/12)+(1/12/3)</f>
        <v>0.1111</v>
      </c>
      <c r="D91" s="132">
        <f>C91*D89</f>
        <v>214.01</v>
      </c>
    </row>
    <row r="92" spans="1:4" outlineLevel="3" x14ac:dyDescent="0.35">
      <c r="A92" s="37" t="s">
        <v>183</v>
      </c>
      <c r="B92" s="38" t="s">
        <v>184</v>
      </c>
      <c r="C92" s="39">
        <v>0.08</v>
      </c>
      <c r="D92" s="131">
        <f>SUM(D89:D90)*C92</f>
        <v>166.94</v>
      </c>
    </row>
    <row r="93" spans="1:4" outlineLevel="2" x14ac:dyDescent="0.35">
      <c r="A93" s="35" t="s">
        <v>16</v>
      </c>
      <c r="B93" s="36" t="s">
        <v>185</v>
      </c>
      <c r="C93" s="40">
        <v>0.4</v>
      </c>
      <c r="D93" s="131">
        <f>C93*D94</f>
        <v>1234.68</v>
      </c>
    </row>
    <row r="94" spans="1:4" outlineLevel="3" x14ac:dyDescent="0.35">
      <c r="A94" s="35" t="s">
        <v>186</v>
      </c>
      <c r="B94" s="36" t="s">
        <v>187</v>
      </c>
      <c r="C94" s="40">
        <f>C62</f>
        <v>0.08</v>
      </c>
      <c r="D94" s="131">
        <f>C94*D95</f>
        <v>3086.69</v>
      </c>
    </row>
    <row r="95" spans="1:4" outlineLevel="3" x14ac:dyDescent="0.35">
      <c r="A95" s="35" t="s">
        <v>188</v>
      </c>
      <c r="B95" s="41" t="s">
        <v>116</v>
      </c>
      <c r="C95" s="42" t="s">
        <v>152</v>
      </c>
      <c r="D95" s="132">
        <f>SUM(D96:D98)</f>
        <v>38583.68</v>
      </c>
    </row>
    <row r="96" spans="1:4" outlineLevel="3" x14ac:dyDescent="0.35">
      <c r="A96" s="37" t="s">
        <v>189</v>
      </c>
      <c r="B96" s="38" t="s">
        <v>190</v>
      </c>
      <c r="C96" s="43">
        <f>C12-C98</f>
        <v>19</v>
      </c>
      <c r="D96" s="131">
        <f>D39*C96</f>
        <v>33271.85</v>
      </c>
    </row>
    <row r="97" spans="1:4" outlineLevel="3" x14ac:dyDescent="0.35">
      <c r="A97" s="37" t="s">
        <v>191</v>
      </c>
      <c r="B97" s="38" t="s">
        <v>192</v>
      </c>
      <c r="C97" s="44">
        <f>C12/12</f>
        <v>1.7</v>
      </c>
      <c r="D97" s="131">
        <f>D39*C97</f>
        <v>2976.96</v>
      </c>
    </row>
    <row r="98" spans="1:4" outlineLevel="3" x14ac:dyDescent="0.35">
      <c r="A98" s="37" t="s">
        <v>193</v>
      </c>
      <c r="B98" s="38" t="s">
        <v>194</v>
      </c>
      <c r="C98" s="42">
        <f>IF(C12&gt;60,5,IF(C12&gt;48,4,IF(C12&gt;36,3,IF(C12&gt;24,2,IF(C12&gt;12,1,0)))))</f>
        <v>1</v>
      </c>
      <c r="D98" s="132">
        <f>D39*C98*1.33333333333333</f>
        <v>2334.87</v>
      </c>
    </row>
    <row r="99" spans="1:4" outlineLevel="1" x14ac:dyDescent="0.35">
      <c r="A99" s="644" t="s">
        <v>11</v>
      </c>
      <c r="B99" s="645"/>
      <c r="C99" s="67">
        <f>'SR - ASG int'!C99</f>
        <v>5.5500000000000001E-2</v>
      </c>
      <c r="D99" s="116">
        <f>IF(C99&gt;1,D88+D93,(D88+D93)*C99)</f>
        <v>205.48</v>
      </c>
    </row>
    <row r="100" spans="1:4" outlineLevel="1" x14ac:dyDescent="0.35">
      <c r="A100" s="658"/>
      <c r="B100" s="659"/>
      <c r="C100" s="659"/>
      <c r="D100" s="660"/>
    </row>
    <row r="101" spans="1:4" outlineLevel="1" x14ac:dyDescent="0.35">
      <c r="A101" s="64" t="s">
        <v>195</v>
      </c>
      <c r="B101" s="109" t="s">
        <v>196</v>
      </c>
      <c r="C101" s="110" t="s">
        <v>44</v>
      </c>
      <c r="D101" s="110" t="s">
        <v>35</v>
      </c>
    </row>
    <row r="102" spans="1:4" outlineLevel="2" x14ac:dyDescent="0.35">
      <c r="A102" s="35" t="s">
        <v>36</v>
      </c>
      <c r="B102" s="41" t="s">
        <v>197</v>
      </c>
      <c r="C102" s="45">
        <f>IF(C111&gt;1,(1/30*7)*2,(1/30*7))</f>
        <v>0.23330000000000001</v>
      </c>
      <c r="D102" s="132">
        <f>C102*SUM(D103:D107)</f>
        <v>763.29</v>
      </c>
    </row>
    <row r="103" spans="1:4" outlineLevel="3" x14ac:dyDescent="0.35">
      <c r="A103" s="37" t="s">
        <v>177</v>
      </c>
      <c r="B103" s="38" t="s">
        <v>198</v>
      </c>
      <c r="C103" s="35">
        <v>1</v>
      </c>
      <c r="D103" s="131">
        <f>D39</f>
        <v>1751.15</v>
      </c>
    </row>
    <row r="104" spans="1:4" outlineLevel="3" x14ac:dyDescent="0.35">
      <c r="A104" s="37" t="s">
        <v>179</v>
      </c>
      <c r="B104" s="38" t="s">
        <v>199</v>
      </c>
      <c r="C104" s="29">
        <f>1/12</f>
        <v>8.3299999999999999E-2</v>
      </c>
      <c r="D104" s="131">
        <f>C104*D103</f>
        <v>145.87</v>
      </c>
    </row>
    <row r="105" spans="1:4" outlineLevel="3" x14ac:dyDescent="0.35">
      <c r="A105" s="37" t="s">
        <v>181</v>
      </c>
      <c r="B105" s="38" t="s">
        <v>200</v>
      </c>
      <c r="C105" s="29">
        <f>(1/12)+(1/12/3)</f>
        <v>0.1111</v>
      </c>
      <c r="D105" s="131">
        <f>C105*D103</f>
        <v>194.55</v>
      </c>
    </row>
    <row r="106" spans="1:4" outlineLevel="3" x14ac:dyDescent="0.35">
      <c r="A106" s="37" t="s">
        <v>183</v>
      </c>
      <c r="B106" s="46" t="s">
        <v>63</v>
      </c>
      <c r="C106" s="47">
        <f>C63</f>
        <v>0.36799999999999999</v>
      </c>
      <c r="D106" s="132">
        <f>C106*(D103+D104)</f>
        <v>698.1</v>
      </c>
    </row>
    <row r="107" spans="1:4" outlineLevel="3" x14ac:dyDescent="0.35">
      <c r="A107" s="37" t="s">
        <v>201</v>
      </c>
      <c r="B107" s="46" t="s">
        <v>202</v>
      </c>
      <c r="C107" s="42">
        <v>1</v>
      </c>
      <c r="D107" s="132">
        <f>D77</f>
        <v>482.04</v>
      </c>
    </row>
    <row r="108" spans="1:4" outlineLevel="2" x14ac:dyDescent="0.35">
      <c r="A108" s="35" t="s">
        <v>16</v>
      </c>
      <c r="B108" s="36" t="s">
        <v>203</v>
      </c>
      <c r="C108" s="40">
        <v>0.4</v>
      </c>
      <c r="D108" s="131">
        <f>C108*D109</f>
        <v>1234.68</v>
      </c>
    </row>
    <row r="109" spans="1:4" outlineLevel="2" x14ac:dyDescent="0.35">
      <c r="A109" s="35" t="s">
        <v>186</v>
      </c>
      <c r="B109" s="36" t="s">
        <v>187</v>
      </c>
      <c r="C109" s="40">
        <f>C62</f>
        <v>0.08</v>
      </c>
      <c r="D109" s="131">
        <f>C109*D110</f>
        <v>3086.69</v>
      </c>
    </row>
    <row r="110" spans="1:4" outlineLevel="2" x14ac:dyDescent="0.35">
      <c r="A110" s="35" t="s">
        <v>188</v>
      </c>
      <c r="B110" s="41" t="s">
        <v>116</v>
      </c>
      <c r="C110" s="42" t="s">
        <v>152</v>
      </c>
      <c r="D110" s="132">
        <f>D95</f>
        <v>38583.68</v>
      </c>
    </row>
    <row r="111" spans="1:4" outlineLevel="1" x14ac:dyDescent="0.35">
      <c r="A111" s="644" t="s">
        <v>11</v>
      </c>
      <c r="B111" s="645"/>
      <c r="C111" s="67">
        <f>'SR - ASG int'!C111</f>
        <v>0.94450000000000001</v>
      </c>
      <c r="D111" s="116">
        <f>IF(C111&gt;1,D102+D108,(D102+D108)*C111)</f>
        <v>1887.08</v>
      </c>
    </row>
    <row r="112" spans="1:4" outlineLevel="1" x14ac:dyDescent="0.35">
      <c r="A112" s="658"/>
      <c r="B112" s="659"/>
      <c r="C112" s="659"/>
      <c r="D112" s="660"/>
    </row>
    <row r="113" spans="1:4" outlineLevel="1" x14ac:dyDescent="0.35">
      <c r="A113" s="64" t="s">
        <v>204</v>
      </c>
      <c r="B113" s="109" t="s">
        <v>205</v>
      </c>
      <c r="C113" s="110" t="s">
        <v>44</v>
      </c>
      <c r="D113" s="110" t="s">
        <v>35</v>
      </c>
    </row>
    <row r="114" spans="1:4" outlineLevel="2" x14ac:dyDescent="0.35">
      <c r="A114" s="111" t="s">
        <v>36</v>
      </c>
      <c r="B114" s="31" t="s">
        <v>206</v>
      </c>
      <c r="C114" s="34">
        <f>IF(C12&gt;60,(D39/12*(C12-60))/C12/D39,IF(C12&gt;48,(D39/12*(C12-48))/C12/D39,IF(C12&gt;36,(D39/12*(C12-36))/C12/D39,IF(C12&gt;24,(D39/12*(C12-24))/C12/D39,IF(C12&gt;12,((D39/12*(C12-12))/C12/D39),1/12)))))</f>
        <v>3.3300000000000003E-2</v>
      </c>
      <c r="D114" s="133">
        <f>C114*D39</f>
        <v>58.31</v>
      </c>
    </row>
    <row r="115" spans="1:4" outlineLevel="2" x14ac:dyDescent="0.35">
      <c r="A115" s="111" t="s">
        <v>16</v>
      </c>
      <c r="B115" s="48" t="s">
        <v>207</v>
      </c>
      <c r="C115" s="34">
        <f>C114/3</f>
        <v>1.11E-2</v>
      </c>
      <c r="D115" s="134">
        <f>C115*D39</f>
        <v>19.440000000000001</v>
      </c>
    </row>
    <row r="116" spans="1:4" outlineLevel="1" x14ac:dyDescent="0.35">
      <c r="A116" s="644" t="s">
        <v>11</v>
      </c>
      <c r="B116" s="645"/>
      <c r="C116" s="30">
        <f>C114+C115</f>
        <v>4.4400000000000002E-2</v>
      </c>
      <c r="D116" s="116">
        <f>SUM(D114:D115)</f>
        <v>77.75</v>
      </c>
    </row>
    <row r="117" spans="1:4" outlineLevel="1" x14ac:dyDescent="0.35">
      <c r="A117" s="658"/>
      <c r="B117" s="659"/>
      <c r="C117" s="659"/>
      <c r="D117" s="660"/>
    </row>
    <row r="118" spans="1:4" outlineLevel="1" x14ac:dyDescent="0.35">
      <c r="A118" s="661" t="s">
        <v>208</v>
      </c>
      <c r="B118" s="662"/>
      <c r="C118" s="110" t="s">
        <v>44</v>
      </c>
      <c r="D118" s="110" t="s">
        <v>35</v>
      </c>
    </row>
    <row r="119" spans="1:4" outlineLevel="1" x14ac:dyDescent="0.35">
      <c r="A119" s="111" t="s">
        <v>174</v>
      </c>
      <c r="B119" s="31" t="s">
        <v>175</v>
      </c>
      <c r="C119" s="34">
        <f>C99</f>
        <v>5.5500000000000001E-2</v>
      </c>
      <c r="D119" s="104">
        <f>D99</f>
        <v>205.48</v>
      </c>
    </row>
    <row r="120" spans="1:4" outlineLevel="1" x14ac:dyDescent="0.35">
      <c r="A120" s="113" t="s">
        <v>195</v>
      </c>
      <c r="B120" s="31" t="s">
        <v>196</v>
      </c>
      <c r="C120" s="49">
        <f>C111</f>
        <v>0.94450000000000001</v>
      </c>
      <c r="D120" s="104">
        <f>D111</f>
        <v>1887.08</v>
      </c>
    </row>
    <row r="121" spans="1:4" outlineLevel="1" x14ac:dyDescent="0.35">
      <c r="A121" s="679" t="s">
        <v>209</v>
      </c>
      <c r="B121" s="679"/>
      <c r="C121" s="679"/>
      <c r="D121" s="135">
        <f>D119+D120</f>
        <v>2092.56</v>
      </c>
    </row>
    <row r="122" spans="1:4" outlineLevel="1" x14ac:dyDescent="0.35">
      <c r="A122" s="675" t="s">
        <v>210</v>
      </c>
      <c r="B122" s="676"/>
      <c r="C122" s="68">
        <f>'SR - ASG int'!C122</f>
        <v>0.63570000000000004</v>
      </c>
      <c r="D122" s="58">
        <f>C122*D121</f>
        <v>1330.24</v>
      </c>
    </row>
    <row r="123" spans="1:4" outlineLevel="1" x14ac:dyDescent="0.35">
      <c r="A123" s="675" t="s">
        <v>211</v>
      </c>
      <c r="B123" s="676"/>
      <c r="C123" s="68">
        <f>'SR - ASG int'!C123</f>
        <v>1.0999999999999999E-2</v>
      </c>
      <c r="D123" s="58">
        <f>(D50+(D116/2))*-C123</f>
        <v>-2.0299999999999998</v>
      </c>
    </row>
    <row r="124" spans="1:4" outlineLevel="1" x14ac:dyDescent="0.35">
      <c r="A124" s="677" t="s">
        <v>212</v>
      </c>
      <c r="B124" s="678"/>
      <c r="C124" s="72">
        <f>1/C12</f>
        <v>0.05</v>
      </c>
      <c r="D124" s="59">
        <f>(D122+D123)*C124</f>
        <v>66.41</v>
      </c>
    </row>
    <row r="125" spans="1:4" outlineLevel="1" x14ac:dyDescent="0.35">
      <c r="A125" s="113" t="s">
        <v>204</v>
      </c>
      <c r="B125" s="31" t="s">
        <v>213</v>
      </c>
      <c r="C125" s="49"/>
      <c r="D125" s="124">
        <f>D116</f>
        <v>77.75</v>
      </c>
    </row>
    <row r="126" spans="1:4" x14ac:dyDescent="0.35">
      <c r="A126" s="644" t="s">
        <v>11</v>
      </c>
      <c r="B126" s="645"/>
      <c r="C126" s="30"/>
      <c r="D126" s="136">
        <f>D124+D125</f>
        <v>144.16</v>
      </c>
    </row>
    <row r="127" spans="1:4" x14ac:dyDescent="0.35">
      <c r="A127" s="646"/>
      <c r="B127" s="647"/>
      <c r="C127" s="647"/>
      <c r="D127" s="648"/>
    </row>
    <row r="128" spans="1:4" x14ac:dyDescent="0.35">
      <c r="A128" s="663" t="s">
        <v>64</v>
      </c>
      <c r="B128" s="664"/>
      <c r="C128" s="664"/>
      <c r="D128" s="665"/>
    </row>
    <row r="129" spans="1:4" outlineLevel="1" x14ac:dyDescent="0.35">
      <c r="A129" s="658"/>
      <c r="B129" s="659"/>
      <c r="C129" s="659"/>
      <c r="D129" s="660"/>
    </row>
    <row r="130" spans="1:4" outlineLevel="1" x14ac:dyDescent="0.35">
      <c r="A130" s="110" t="s">
        <v>65</v>
      </c>
      <c r="B130" s="117" t="s">
        <v>214</v>
      </c>
      <c r="C130" s="30" t="s">
        <v>44</v>
      </c>
      <c r="D130" s="110" t="s">
        <v>35</v>
      </c>
    </row>
    <row r="131" spans="1:4" outlineLevel="2" x14ac:dyDescent="0.35">
      <c r="A131" s="137" t="s">
        <v>36</v>
      </c>
      <c r="B131" s="89" t="s">
        <v>66</v>
      </c>
      <c r="C131" s="50">
        <f>IF(C12&gt;60,5/C12,IF(C12&gt;48,4/C12,IF(C12&gt;36,3/C12,IF(C12&gt;24,2/C12,IF(C12&gt;12,1/C12,0)))))</f>
        <v>0.05</v>
      </c>
      <c r="D131" s="133">
        <f>SUM(D132:D136)</f>
        <v>113.13</v>
      </c>
    </row>
    <row r="132" spans="1:4" outlineLevel="3" x14ac:dyDescent="0.35">
      <c r="A132" s="138" t="s">
        <v>215</v>
      </c>
      <c r="B132" s="90" t="s">
        <v>216</v>
      </c>
      <c r="C132" s="139">
        <f>D39</f>
        <v>1751.15</v>
      </c>
      <c r="D132" s="140">
        <f>$C$131*(D39)-($C$131*(D39)*C137/3)</f>
        <v>87.56</v>
      </c>
    </row>
    <row r="133" spans="1:4" outlineLevel="3" x14ac:dyDescent="0.35">
      <c r="A133" s="138" t="s">
        <v>217</v>
      </c>
      <c r="B133" s="90" t="s">
        <v>218</v>
      </c>
      <c r="C133" s="139">
        <f>(D50)</f>
        <v>145.87</v>
      </c>
      <c r="D133" s="140">
        <f>$C$131*C133-($C$131*C133*C137/3)</f>
        <v>7.29</v>
      </c>
    </row>
    <row r="134" spans="1:4" outlineLevel="3" x14ac:dyDescent="0.35">
      <c r="A134" s="138" t="s">
        <v>219</v>
      </c>
      <c r="B134" s="90" t="s">
        <v>220</v>
      </c>
      <c r="C134" s="141">
        <f>(D39/12)+(D51*IF(C12&gt;60,((C12-60)*(1/60))+1,IF(C12&gt;48,((C12-48)*(1/48))+1,IF(C12&gt;36,((C12-36)*(1/36))+1,IF(C12&gt;24,((C12-24)*(1/24))+1,IF(C12&gt;12,((C12-12)*(1/12))+1,1))))))</f>
        <v>194.66</v>
      </c>
      <c r="D134" s="140">
        <f>$C$131*C134-($C$131*C134*C137/3)</f>
        <v>9.73</v>
      </c>
    </row>
    <row r="135" spans="1:4" outlineLevel="3" x14ac:dyDescent="0.35">
      <c r="A135" s="138" t="s">
        <v>221</v>
      </c>
      <c r="B135" s="90" t="s">
        <v>222</v>
      </c>
      <c r="C135" s="91">
        <f>C63</f>
        <v>0.36799999999999999</v>
      </c>
      <c r="D135" s="140">
        <f>SUM(D132:D134)*C131</f>
        <v>5.23</v>
      </c>
    </row>
    <row r="136" spans="1:4" outlineLevel="3" x14ac:dyDescent="0.35">
      <c r="A136" s="138" t="s">
        <v>223</v>
      </c>
      <c r="B136" s="90" t="s">
        <v>224</v>
      </c>
      <c r="C136" s="141">
        <f>D124</f>
        <v>66.41</v>
      </c>
      <c r="D136" s="140">
        <f>C136*C131</f>
        <v>3.32</v>
      </c>
    </row>
    <row r="137" spans="1:4" outlineLevel="2" x14ac:dyDescent="0.35">
      <c r="A137" s="111" t="s">
        <v>16</v>
      </c>
      <c r="B137" s="31" t="s">
        <v>225</v>
      </c>
      <c r="C137" s="92">
        <v>0</v>
      </c>
      <c r="D137" s="124">
        <f>$C$131*(D39)*(C137/3)</f>
        <v>0</v>
      </c>
    </row>
    <row r="138" spans="1:4" outlineLevel="1" x14ac:dyDescent="0.35">
      <c r="A138" s="644" t="s">
        <v>226</v>
      </c>
      <c r="B138" s="645"/>
      <c r="C138" s="30">
        <f>C131+(D137/D39)</f>
        <v>0.05</v>
      </c>
      <c r="D138" s="116">
        <f>SUM(D131:D137)</f>
        <v>226.26</v>
      </c>
    </row>
    <row r="139" spans="1:4" outlineLevel="1" x14ac:dyDescent="0.35">
      <c r="A139" s="658"/>
      <c r="B139" s="659"/>
      <c r="C139" s="659"/>
      <c r="D139" s="660"/>
    </row>
    <row r="140" spans="1:4" outlineLevel="2" x14ac:dyDescent="0.35">
      <c r="A140" s="668" t="s">
        <v>227</v>
      </c>
      <c r="B140" s="142" t="s">
        <v>190</v>
      </c>
      <c r="C140" s="93">
        <v>220</v>
      </c>
      <c r="D140" s="143">
        <f>D39</f>
        <v>1751.15</v>
      </c>
    </row>
    <row r="141" spans="1:4" outlineLevel="2" x14ac:dyDescent="0.35">
      <c r="A141" s="669"/>
      <c r="B141" s="142" t="s">
        <v>228</v>
      </c>
      <c r="C141" s="50">
        <f>(1+(1/3)+1)/12</f>
        <v>0.19439999999999999</v>
      </c>
      <c r="D141" s="144">
        <f>D140*C141</f>
        <v>340.42</v>
      </c>
    </row>
    <row r="142" spans="1:4" outlineLevel="2" x14ac:dyDescent="0.35">
      <c r="A142" s="669"/>
      <c r="B142" s="142" t="s">
        <v>229</v>
      </c>
      <c r="C142" s="50">
        <f>C63</f>
        <v>0.36799999999999999</v>
      </c>
      <c r="D142" s="144">
        <f>(D140+D141)*C142</f>
        <v>769.7</v>
      </c>
    </row>
    <row r="143" spans="1:4" outlineLevel="2" x14ac:dyDescent="0.35">
      <c r="A143" s="669"/>
      <c r="B143" s="142" t="s">
        <v>230</v>
      </c>
      <c r="C143" s="50">
        <f>D143/D140</f>
        <v>0.27529999999999999</v>
      </c>
      <c r="D143" s="144">
        <f>D77</f>
        <v>482.04</v>
      </c>
    </row>
    <row r="144" spans="1:4" outlineLevel="2" x14ac:dyDescent="0.35">
      <c r="A144" s="670"/>
      <c r="B144" s="145" t="s">
        <v>231</v>
      </c>
      <c r="C144" s="50">
        <f>D144/D140</f>
        <v>3.7900000000000003E-2</v>
      </c>
      <c r="D144" s="144">
        <f>D124</f>
        <v>66.41</v>
      </c>
    </row>
    <row r="145" spans="1:4" outlineLevel="2" x14ac:dyDescent="0.35">
      <c r="A145" s="671" t="s">
        <v>232</v>
      </c>
      <c r="B145" s="672"/>
      <c r="C145" s="94">
        <f>D145/D140</f>
        <v>1.9471000000000001</v>
      </c>
      <c r="D145" s="146">
        <f>SUM(D140:D144)</f>
        <v>3409.72</v>
      </c>
    </row>
    <row r="146" spans="1:4" outlineLevel="2" x14ac:dyDescent="0.35">
      <c r="A146" s="673"/>
      <c r="B146" s="673"/>
      <c r="C146" s="673"/>
      <c r="D146" s="674"/>
    </row>
    <row r="147" spans="1:4" outlineLevel="1" x14ac:dyDescent="0.35">
      <c r="A147" s="110" t="s">
        <v>233</v>
      </c>
      <c r="B147" s="117" t="s">
        <v>234</v>
      </c>
      <c r="C147" s="30" t="s">
        <v>44</v>
      </c>
      <c r="D147" s="110" t="s">
        <v>35</v>
      </c>
    </row>
    <row r="148" spans="1:4" outlineLevel="2" x14ac:dyDescent="0.35">
      <c r="A148" s="111" t="s">
        <v>16</v>
      </c>
      <c r="B148" s="31" t="s">
        <v>118</v>
      </c>
      <c r="C148" s="77">
        <f>5/252</f>
        <v>1.9800000000000002E-2</v>
      </c>
      <c r="D148" s="133">
        <f>C148*$D$145</f>
        <v>67.510000000000005</v>
      </c>
    </row>
    <row r="149" spans="1:4" outlineLevel="2" x14ac:dyDescent="0.35">
      <c r="A149" s="111" t="s">
        <v>17</v>
      </c>
      <c r="B149" s="31" t="s">
        <v>119</v>
      </c>
      <c r="C149" s="77">
        <f>1.383/252</f>
        <v>5.4999999999999997E-3</v>
      </c>
      <c r="D149" s="133">
        <f>C149*$D$145</f>
        <v>18.75</v>
      </c>
    </row>
    <row r="150" spans="1:4" outlineLevel="2" x14ac:dyDescent="0.35">
      <c r="A150" s="111" t="s">
        <v>19</v>
      </c>
      <c r="B150" s="31" t="s">
        <v>117</v>
      </c>
      <c r="C150" s="77">
        <f>1.3892/252</f>
        <v>5.4999999999999997E-3</v>
      </c>
      <c r="D150" s="133">
        <f t="shared" ref="D150:D153" si="1">C150*$D$145</f>
        <v>18.75</v>
      </c>
    </row>
    <row r="151" spans="1:4" outlineLevel="2" x14ac:dyDescent="0.35">
      <c r="A151" s="111" t="s">
        <v>22</v>
      </c>
      <c r="B151" s="31" t="s">
        <v>67</v>
      </c>
      <c r="C151" s="77">
        <f>0.65/252</f>
        <v>2.5999999999999999E-3</v>
      </c>
      <c r="D151" s="133">
        <f t="shared" si="1"/>
        <v>8.8699999999999992</v>
      </c>
    </row>
    <row r="152" spans="1:4" outlineLevel="2" x14ac:dyDescent="0.35">
      <c r="A152" s="111" t="s">
        <v>24</v>
      </c>
      <c r="B152" s="31" t="s">
        <v>68</v>
      </c>
      <c r="C152" s="77">
        <f>0.5052/252</f>
        <v>2E-3</v>
      </c>
      <c r="D152" s="133">
        <f t="shared" si="1"/>
        <v>6.82</v>
      </c>
    </row>
    <row r="153" spans="1:4" outlineLevel="2" x14ac:dyDescent="0.35">
      <c r="A153" s="111" t="s">
        <v>36</v>
      </c>
      <c r="B153" s="61" t="s">
        <v>235</v>
      </c>
      <c r="C153" s="69">
        <f>0.2/252</f>
        <v>8.0000000000000004E-4</v>
      </c>
      <c r="D153" s="133">
        <f t="shared" si="1"/>
        <v>2.73</v>
      </c>
    </row>
    <row r="154" spans="1:4" outlineLevel="1" x14ac:dyDescent="0.35">
      <c r="A154" s="644" t="s">
        <v>226</v>
      </c>
      <c r="B154" s="645"/>
      <c r="C154" s="30">
        <f>SUM(C148:C153)</f>
        <v>3.6200000000000003E-2</v>
      </c>
      <c r="D154" s="116">
        <f>SUM(D148:D153)</f>
        <v>123.43</v>
      </c>
    </row>
    <row r="155" spans="1:4" outlineLevel="1" x14ac:dyDescent="0.35">
      <c r="A155" s="658"/>
      <c r="B155" s="659"/>
      <c r="C155" s="659"/>
      <c r="D155" s="660"/>
    </row>
    <row r="156" spans="1:4" outlineLevel="1" x14ac:dyDescent="0.35">
      <c r="A156" s="661" t="s">
        <v>236</v>
      </c>
      <c r="B156" s="666"/>
      <c r="C156" s="30" t="s">
        <v>237</v>
      </c>
      <c r="D156" s="110" t="s">
        <v>35</v>
      </c>
    </row>
    <row r="157" spans="1:4" outlineLevel="2" x14ac:dyDescent="0.4">
      <c r="A157" s="667" t="s">
        <v>238</v>
      </c>
      <c r="B157" s="142" t="s">
        <v>239</v>
      </c>
      <c r="C157" s="95">
        <f>C153</f>
        <v>8.0000000000000004E-4</v>
      </c>
      <c r="D157" s="147">
        <f>C157*-D140</f>
        <v>-1.4</v>
      </c>
    </row>
    <row r="158" spans="1:4" outlineLevel="2" x14ac:dyDescent="0.4">
      <c r="A158" s="667"/>
      <c r="B158" s="148" t="s">
        <v>240</v>
      </c>
      <c r="C158" s="96">
        <v>0</v>
      </c>
      <c r="D158" s="149">
        <f>C158*-(D140/220/24*5)</f>
        <v>0</v>
      </c>
    </row>
    <row r="159" spans="1:4" outlineLevel="2" x14ac:dyDescent="0.4">
      <c r="A159" s="667"/>
      <c r="B159" s="148" t="s">
        <v>241</v>
      </c>
      <c r="C159" s="96">
        <v>0</v>
      </c>
      <c r="D159" s="149">
        <f>C159*-D141</f>
        <v>0</v>
      </c>
    </row>
    <row r="160" spans="1:4" outlineLevel="2" x14ac:dyDescent="0.4">
      <c r="A160" s="667"/>
      <c r="B160" s="142" t="s">
        <v>242</v>
      </c>
      <c r="C160" s="95">
        <f>C154</f>
        <v>3.6200000000000003E-2</v>
      </c>
      <c r="D160" s="147">
        <f>C160*-D66</f>
        <v>-2.2999999999999998</v>
      </c>
    </row>
    <row r="161" spans="1:4" outlineLevel="2" x14ac:dyDescent="0.4">
      <c r="A161" s="667"/>
      <c r="B161" s="142" t="s">
        <v>243</v>
      </c>
      <c r="C161" s="95">
        <f>C154</f>
        <v>3.6200000000000003E-2</v>
      </c>
      <c r="D161" s="147">
        <f>C161*-D69</f>
        <v>-10.5</v>
      </c>
    </row>
    <row r="162" spans="1:4" outlineLevel="2" x14ac:dyDescent="0.4">
      <c r="A162" s="667"/>
      <c r="B162" s="145" t="s">
        <v>244</v>
      </c>
      <c r="C162" s="95">
        <f>C153</f>
        <v>8.0000000000000004E-4</v>
      </c>
      <c r="D162" s="147">
        <f>C162*-D74</f>
        <v>-0.02</v>
      </c>
    </row>
    <row r="163" spans="1:4" outlineLevel="2" x14ac:dyDescent="0.35">
      <c r="A163" s="667"/>
      <c r="B163" s="145" t="s">
        <v>245</v>
      </c>
      <c r="C163" s="97">
        <f>C152</f>
        <v>2E-3</v>
      </c>
      <c r="D163" s="133">
        <f>C163*-SUM(D55:D61)</f>
        <v>-1.1100000000000001</v>
      </c>
    </row>
    <row r="164" spans="1:4" outlineLevel="2" x14ac:dyDescent="0.4">
      <c r="A164" s="667"/>
      <c r="B164" s="142" t="s">
        <v>246</v>
      </c>
      <c r="C164" s="95">
        <f>C153</f>
        <v>8.0000000000000004E-4</v>
      </c>
      <c r="D164" s="147">
        <f>C164*-D142</f>
        <v>-0.62</v>
      </c>
    </row>
    <row r="165" spans="1:4" outlineLevel="1" x14ac:dyDescent="0.35">
      <c r="A165" s="644" t="s">
        <v>247</v>
      </c>
      <c r="B165" s="645"/>
      <c r="C165" s="30">
        <f>D165/D140</f>
        <v>-9.1000000000000004E-3</v>
      </c>
      <c r="D165" s="116">
        <f>SUM(D157:D164)</f>
        <v>-15.95</v>
      </c>
    </row>
    <row r="166" spans="1:4" outlineLevel="1" x14ac:dyDescent="0.35">
      <c r="A166" s="658"/>
      <c r="B166" s="659"/>
      <c r="C166" s="659"/>
      <c r="D166" s="660"/>
    </row>
    <row r="167" spans="1:4" outlineLevel="1" x14ac:dyDescent="0.35">
      <c r="A167" s="644" t="s">
        <v>248</v>
      </c>
      <c r="B167" s="645"/>
      <c r="C167" s="30">
        <f>D167/D140</f>
        <v>6.1400000000000003E-2</v>
      </c>
      <c r="D167" s="116">
        <f>D154+D165</f>
        <v>107.48</v>
      </c>
    </row>
    <row r="168" spans="1:4" outlineLevel="1" x14ac:dyDescent="0.35">
      <c r="A168" s="658"/>
      <c r="B168" s="659"/>
      <c r="C168" s="659"/>
      <c r="D168" s="660"/>
    </row>
    <row r="169" spans="1:4" outlineLevel="1" x14ac:dyDescent="0.35">
      <c r="A169" s="661" t="s">
        <v>249</v>
      </c>
      <c r="B169" s="662"/>
      <c r="C169" s="110" t="s">
        <v>44</v>
      </c>
      <c r="D169" s="110" t="s">
        <v>35</v>
      </c>
    </row>
    <row r="170" spans="1:4" outlineLevel="1" x14ac:dyDescent="0.35">
      <c r="A170" s="111" t="s">
        <v>65</v>
      </c>
      <c r="B170" s="31" t="s">
        <v>214</v>
      </c>
      <c r="C170" s="34"/>
      <c r="D170" s="150">
        <f>D138</f>
        <v>226.26</v>
      </c>
    </row>
    <row r="171" spans="1:4" outlineLevel="1" x14ac:dyDescent="0.35">
      <c r="A171" s="111" t="s">
        <v>233</v>
      </c>
      <c r="B171" s="31" t="s">
        <v>234</v>
      </c>
      <c r="C171" s="34"/>
      <c r="D171" s="150">
        <f>D167</f>
        <v>107.48</v>
      </c>
    </row>
    <row r="172" spans="1:4" x14ac:dyDescent="0.35">
      <c r="A172" s="644" t="s">
        <v>11</v>
      </c>
      <c r="B172" s="657"/>
      <c r="C172" s="645"/>
      <c r="D172" s="119">
        <f>SUM(D170:D171)</f>
        <v>333.74</v>
      </c>
    </row>
    <row r="173" spans="1:4" x14ac:dyDescent="0.35">
      <c r="A173" s="658"/>
      <c r="B173" s="659"/>
      <c r="C173" s="659"/>
      <c r="D173" s="660"/>
    </row>
    <row r="174" spans="1:4" x14ac:dyDescent="0.35">
      <c r="A174" s="663" t="s">
        <v>69</v>
      </c>
      <c r="B174" s="664"/>
      <c r="C174" s="664"/>
      <c r="D174" s="665"/>
    </row>
    <row r="175" spans="1:4" outlineLevel="1" x14ac:dyDescent="0.35">
      <c r="A175" s="658"/>
      <c r="B175" s="659"/>
      <c r="C175" s="659"/>
      <c r="D175" s="660"/>
    </row>
    <row r="176" spans="1:4" outlineLevel="1" x14ac:dyDescent="0.35">
      <c r="A176" s="64">
        <v>5</v>
      </c>
      <c r="B176" s="644" t="s">
        <v>250</v>
      </c>
      <c r="C176" s="645"/>
      <c r="D176" s="110" t="s">
        <v>35</v>
      </c>
    </row>
    <row r="177" spans="1:4" outlineLevel="1" x14ac:dyDescent="0.35">
      <c r="A177" s="111" t="s">
        <v>36</v>
      </c>
      <c r="B177" s="655" t="s">
        <v>343</v>
      </c>
      <c r="C177" s="656"/>
      <c r="D177" s="133">
        <f>INSUMOS!H12</f>
        <v>25.07</v>
      </c>
    </row>
    <row r="178" spans="1:4" outlineLevel="1" x14ac:dyDescent="0.35">
      <c r="A178" s="111" t="s">
        <v>16</v>
      </c>
      <c r="B178" s="655" t="s">
        <v>369</v>
      </c>
      <c r="C178" s="656"/>
      <c r="D178" s="151">
        <f>INSUMOS!H31</f>
        <v>19.34</v>
      </c>
    </row>
    <row r="179" spans="1:4" outlineLevel="1" x14ac:dyDescent="0.35">
      <c r="A179" s="111" t="s">
        <v>17</v>
      </c>
      <c r="B179" s="640" t="s">
        <v>326</v>
      </c>
      <c r="C179" s="642"/>
      <c r="D179" s="151">
        <f>MATERIAIS!H125</f>
        <v>415.59</v>
      </c>
    </row>
    <row r="180" spans="1:4" outlineLevel="1" x14ac:dyDescent="0.35">
      <c r="A180" s="111" t="s">
        <v>19</v>
      </c>
      <c r="B180" s="640" t="s">
        <v>325</v>
      </c>
      <c r="C180" s="642"/>
      <c r="D180" s="151">
        <f>EQUIPAMENTOS!I134</f>
        <v>9.41</v>
      </c>
    </row>
    <row r="181" spans="1:4" outlineLevel="1" x14ac:dyDescent="0.35">
      <c r="A181" s="111" t="s">
        <v>22</v>
      </c>
      <c r="B181" s="705" t="s">
        <v>39</v>
      </c>
      <c r="C181" s="706"/>
      <c r="D181" s="130">
        <v>0</v>
      </c>
    </row>
    <row r="182" spans="1:4" outlineLevel="1" x14ac:dyDescent="0.35">
      <c r="A182" s="111" t="s">
        <v>24</v>
      </c>
      <c r="B182" s="705" t="s">
        <v>39</v>
      </c>
      <c r="C182" s="706"/>
      <c r="D182" s="130">
        <v>0</v>
      </c>
    </row>
    <row r="183" spans="1:4" x14ac:dyDescent="0.35">
      <c r="A183" s="644" t="s">
        <v>11</v>
      </c>
      <c r="B183" s="657"/>
      <c r="C183" s="645"/>
      <c r="D183" s="116">
        <f>SUM(D177:D181)</f>
        <v>469.41</v>
      </c>
    </row>
    <row r="184" spans="1:4" x14ac:dyDescent="0.35">
      <c r="A184" s="646"/>
      <c r="B184" s="647"/>
      <c r="C184" s="647"/>
      <c r="D184" s="648"/>
    </row>
    <row r="185" spans="1:4" x14ac:dyDescent="0.35">
      <c r="A185" s="649" t="s">
        <v>70</v>
      </c>
      <c r="B185" s="649"/>
      <c r="C185" s="649"/>
      <c r="D185" s="152">
        <f>D39+D83+D126+D172+D183</f>
        <v>4064.47</v>
      </c>
    </row>
    <row r="186" spans="1:4" x14ac:dyDescent="0.35">
      <c r="A186" s="650"/>
      <c r="B186" s="650"/>
      <c r="C186" s="650"/>
      <c r="D186" s="650"/>
    </row>
    <row r="187" spans="1:4" x14ac:dyDescent="0.35">
      <c r="A187" s="651" t="s">
        <v>71</v>
      </c>
      <c r="B187" s="651"/>
      <c r="C187" s="651"/>
      <c r="D187" s="651"/>
    </row>
    <row r="188" spans="1:4" outlineLevel="1" x14ac:dyDescent="0.35">
      <c r="A188" s="652"/>
      <c r="B188" s="653"/>
      <c r="C188" s="653"/>
      <c r="D188" s="654"/>
    </row>
    <row r="189" spans="1:4" outlineLevel="1" x14ac:dyDescent="0.35">
      <c r="A189" s="64">
        <v>6</v>
      </c>
      <c r="B189" s="117" t="s">
        <v>72</v>
      </c>
      <c r="C189" s="110" t="s">
        <v>44</v>
      </c>
      <c r="D189" s="110" t="s">
        <v>35</v>
      </c>
    </row>
    <row r="190" spans="1:4" outlineLevel="1" x14ac:dyDescent="0.35">
      <c r="A190" s="111" t="s">
        <v>36</v>
      </c>
      <c r="B190" s="31" t="s">
        <v>73</v>
      </c>
      <c r="C190" s="70">
        <f>'SR - ASG int'!C189</f>
        <v>2.6499999999999999E-2</v>
      </c>
      <c r="D190" s="105">
        <f>C190*D185</f>
        <v>107.71</v>
      </c>
    </row>
    <row r="191" spans="1:4" outlineLevel="1" x14ac:dyDescent="0.35">
      <c r="A191" s="638" t="s">
        <v>1</v>
      </c>
      <c r="B191" s="639"/>
      <c r="C191" s="643"/>
      <c r="D191" s="105">
        <f>D185+D190</f>
        <v>4172.18</v>
      </c>
    </row>
    <row r="192" spans="1:4" outlineLevel="1" x14ac:dyDescent="0.35">
      <c r="A192" s="111" t="s">
        <v>16</v>
      </c>
      <c r="B192" s="31" t="s">
        <v>74</v>
      </c>
      <c r="C192" s="70">
        <f>'SR - ASG int'!C191</f>
        <v>0.1087</v>
      </c>
      <c r="D192" s="105">
        <f>C192*D191</f>
        <v>453.52</v>
      </c>
    </row>
    <row r="193" spans="1:4" outlineLevel="1" x14ac:dyDescent="0.35">
      <c r="A193" s="638" t="s">
        <v>1</v>
      </c>
      <c r="B193" s="639"/>
      <c r="C193" s="639"/>
      <c r="D193" s="105">
        <f>D192+D191</f>
        <v>4625.7</v>
      </c>
    </row>
    <row r="194" spans="1:4" outlineLevel="1" x14ac:dyDescent="0.35">
      <c r="A194" s="111" t="s">
        <v>17</v>
      </c>
      <c r="B194" s="640" t="s">
        <v>75</v>
      </c>
      <c r="C194" s="641"/>
      <c r="D194" s="642"/>
    </row>
    <row r="195" spans="1:4" outlineLevel="1" x14ac:dyDescent="0.35">
      <c r="A195" s="153"/>
      <c r="B195" s="63" t="s">
        <v>76</v>
      </c>
      <c r="C195" s="70">
        <v>6.4999999999999997E-3</v>
      </c>
      <c r="D195" s="105">
        <f>(D193/(1-C198)*C195)</f>
        <v>31.87</v>
      </c>
    </row>
    <row r="196" spans="1:4" outlineLevel="1" x14ac:dyDescent="0.35">
      <c r="A196" s="153"/>
      <c r="B196" s="63" t="s">
        <v>77</v>
      </c>
      <c r="C196" s="70">
        <v>0.03</v>
      </c>
      <c r="D196" s="105">
        <f>(D193/(1-C198)*C196)</f>
        <v>147.08000000000001</v>
      </c>
    </row>
    <row r="197" spans="1:4" outlineLevel="1" x14ac:dyDescent="0.35">
      <c r="A197" s="153"/>
      <c r="B197" s="63" t="s">
        <v>295</v>
      </c>
      <c r="C197" s="51">
        <v>0.02</v>
      </c>
      <c r="D197" s="105">
        <f>(D193/(1-C198)*C197)</f>
        <v>98.05</v>
      </c>
    </row>
    <row r="198" spans="1:4" outlineLevel="1" x14ac:dyDescent="0.35">
      <c r="A198" s="638" t="s">
        <v>78</v>
      </c>
      <c r="B198" s="643"/>
      <c r="C198" s="52">
        <f>SUM(C195:C197)</f>
        <v>5.6500000000000002E-2</v>
      </c>
      <c r="D198" s="105">
        <f>SUM(D195:D197)</f>
        <v>277</v>
      </c>
    </row>
    <row r="199" spans="1:4" x14ac:dyDescent="0.35">
      <c r="A199" s="644" t="s">
        <v>11</v>
      </c>
      <c r="B199" s="645"/>
      <c r="C199" s="53">
        <f>(1+C190)*(1+C192)*(1/(1-C198))-1</f>
        <v>0.20619999999999999</v>
      </c>
      <c r="D199" s="108">
        <f>SUM(D198+D190+D192)</f>
        <v>838.23</v>
      </c>
    </row>
    <row r="200" spans="1:4" x14ac:dyDescent="0.35">
      <c r="A200" s="646"/>
      <c r="B200" s="647"/>
      <c r="C200" s="647"/>
      <c r="D200" s="648"/>
    </row>
    <row r="201" spans="1:4" x14ac:dyDescent="0.35">
      <c r="A201" s="634" t="s">
        <v>79</v>
      </c>
      <c r="B201" s="635"/>
      <c r="C201" s="636"/>
      <c r="D201" s="54" t="s">
        <v>35</v>
      </c>
    </row>
    <row r="202" spans="1:4" x14ac:dyDescent="0.35">
      <c r="A202" s="632" t="s">
        <v>80</v>
      </c>
      <c r="B202" s="637"/>
      <c r="C202" s="637"/>
      <c r="D202" s="633"/>
    </row>
    <row r="203" spans="1:4" x14ac:dyDescent="0.35">
      <c r="A203" s="65" t="s">
        <v>36</v>
      </c>
      <c r="B203" s="632" t="s">
        <v>81</v>
      </c>
      <c r="C203" s="633"/>
      <c r="D203" s="104">
        <f>D39</f>
        <v>1751.15</v>
      </c>
    </row>
    <row r="204" spans="1:4" x14ac:dyDescent="0.35">
      <c r="A204" s="65" t="s">
        <v>16</v>
      </c>
      <c r="B204" s="632" t="s">
        <v>82</v>
      </c>
      <c r="C204" s="633"/>
      <c r="D204" s="104">
        <f>D83</f>
        <v>1366.01</v>
      </c>
    </row>
    <row r="205" spans="1:4" x14ac:dyDescent="0.35">
      <c r="A205" s="65" t="s">
        <v>17</v>
      </c>
      <c r="B205" s="632" t="s">
        <v>83</v>
      </c>
      <c r="C205" s="633"/>
      <c r="D205" s="104">
        <f>D126</f>
        <v>144.16</v>
      </c>
    </row>
    <row r="206" spans="1:4" x14ac:dyDescent="0.35">
      <c r="A206" s="65" t="s">
        <v>19</v>
      </c>
      <c r="B206" s="632" t="s">
        <v>84</v>
      </c>
      <c r="C206" s="633"/>
      <c r="D206" s="104">
        <f>D172</f>
        <v>333.74</v>
      </c>
    </row>
    <row r="207" spans="1:4" x14ac:dyDescent="0.35">
      <c r="A207" s="65" t="s">
        <v>22</v>
      </c>
      <c r="B207" s="632" t="s">
        <v>85</v>
      </c>
      <c r="C207" s="633"/>
      <c r="D207" s="104">
        <f>D183</f>
        <v>469.41</v>
      </c>
    </row>
    <row r="208" spans="1:4" x14ac:dyDescent="0.4">
      <c r="A208" s="629" t="s">
        <v>86</v>
      </c>
      <c r="B208" s="630"/>
      <c r="C208" s="631"/>
      <c r="D208" s="104">
        <f>SUM(D203:D207)</f>
        <v>4064.47</v>
      </c>
    </row>
    <row r="209" spans="1:4" x14ac:dyDescent="0.35">
      <c r="A209" s="65" t="s">
        <v>87</v>
      </c>
      <c r="B209" s="632" t="s">
        <v>88</v>
      </c>
      <c r="C209" s="633"/>
      <c r="D209" s="104">
        <f>D199</f>
        <v>838.23</v>
      </c>
    </row>
    <row r="210" spans="1:4" x14ac:dyDescent="0.35">
      <c r="A210" s="634" t="s">
        <v>89</v>
      </c>
      <c r="B210" s="635"/>
      <c r="C210" s="636"/>
      <c r="D210" s="154">
        <f xml:space="preserve"> D208+D209</f>
        <v>4902.7</v>
      </c>
    </row>
    <row r="211" spans="1:4" x14ac:dyDescent="0.4">
      <c r="A211" s="24"/>
      <c r="B211" s="24"/>
      <c r="C211" s="24"/>
      <c r="D211" s="24"/>
    </row>
    <row r="212" spans="1:4" thickBot="1" x14ac:dyDescent="0.4">
      <c r="A212" s="17"/>
      <c r="B212" s="17"/>
      <c r="C212" s="17"/>
      <c r="D212" s="17"/>
    </row>
    <row r="213" spans="1:4" x14ac:dyDescent="0.35">
      <c r="A213" s="702" t="s">
        <v>274</v>
      </c>
      <c r="B213" s="703"/>
      <c r="C213" s="703"/>
      <c r="D213" s="704"/>
    </row>
    <row r="214" spans="1:4" ht="30" x14ac:dyDescent="0.35">
      <c r="A214" s="170" t="s">
        <v>275</v>
      </c>
      <c r="B214" s="171" t="s">
        <v>278</v>
      </c>
      <c r="C214" s="172" t="s">
        <v>276</v>
      </c>
      <c r="D214" s="173" t="s">
        <v>277</v>
      </c>
    </row>
    <row r="215" spans="1:4" ht="15.5" thickBot="1" x14ac:dyDescent="0.4">
      <c r="A215" s="174">
        <v>2</v>
      </c>
      <c r="B215" s="178">
        <f>1/(C11/A215)</f>
        <v>1.3124565249999999E-4</v>
      </c>
      <c r="C215" s="175">
        <f>D210</f>
        <v>4902.7</v>
      </c>
      <c r="D215" s="181">
        <f>C215*B215</f>
        <v>0.64345806100000003</v>
      </c>
    </row>
  </sheetData>
  <mergeCells count="108">
    <mergeCell ref="B206:C206"/>
    <mergeCell ref="B207:C207"/>
    <mergeCell ref="A208:C208"/>
    <mergeCell ref="B209:C209"/>
    <mergeCell ref="A210:C210"/>
    <mergeCell ref="A213:D213"/>
    <mergeCell ref="A200:D200"/>
    <mergeCell ref="A201:C201"/>
    <mergeCell ref="A202:D202"/>
    <mergeCell ref="B203:C203"/>
    <mergeCell ref="B204:C204"/>
    <mergeCell ref="B205:C205"/>
    <mergeCell ref="A188:D188"/>
    <mergeCell ref="A191:C191"/>
    <mergeCell ref="A193:C193"/>
    <mergeCell ref="B194:D194"/>
    <mergeCell ref="A198:B198"/>
    <mergeCell ref="A199:B199"/>
    <mergeCell ref="B182:C182"/>
    <mergeCell ref="A183:C183"/>
    <mergeCell ref="A184:D184"/>
    <mergeCell ref="A185:C185"/>
    <mergeCell ref="A186:D186"/>
    <mergeCell ref="A187:D187"/>
    <mergeCell ref="B176:C176"/>
    <mergeCell ref="B177:C177"/>
    <mergeCell ref="B178:C178"/>
    <mergeCell ref="B179:C179"/>
    <mergeCell ref="B180:C180"/>
    <mergeCell ref="B181:C181"/>
    <mergeCell ref="A168:D168"/>
    <mergeCell ref="A169:B169"/>
    <mergeCell ref="A172:C172"/>
    <mergeCell ref="A173:D173"/>
    <mergeCell ref="A174:D174"/>
    <mergeCell ref="A175:D175"/>
    <mergeCell ref="A155:D155"/>
    <mergeCell ref="A156:B156"/>
    <mergeCell ref="A157:A164"/>
    <mergeCell ref="A165:B165"/>
    <mergeCell ref="A166:D166"/>
    <mergeCell ref="A167:B167"/>
    <mergeCell ref="A138:B138"/>
    <mergeCell ref="A139:D139"/>
    <mergeCell ref="A140:A144"/>
    <mergeCell ref="A145:B145"/>
    <mergeCell ref="A146:D146"/>
    <mergeCell ref="A154:B154"/>
    <mergeCell ref="A123:B123"/>
    <mergeCell ref="A124:B124"/>
    <mergeCell ref="A126:B126"/>
    <mergeCell ref="A127:D127"/>
    <mergeCell ref="A128:D128"/>
    <mergeCell ref="A129:D129"/>
    <mergeCell ref="A112:D112"/>
    <mergeCell ref="A116:B116"/>
    <mergeCell ref="A117:D117"/>
    <mergeCell ref="A118:B118"/>
    <mergeCell ref="A121:C121"/>
    <mergeCell ref="A122:B122"/>
    <mergeCell ref="A84:D84"/>
    <mergeCell ref="A85:D85"/>
    <mergeCell ref="A86:D86"/>
    <mergeCell ref="A99:B99"/>
    <mergeCell ref="A100:D100"/>
    <mergeCell ref="A111:B111"/>
    <mergeCell ref="A63:B63"/>
    <mergeCell ref="A64:D64"/>
    <mergeCell ref="A77:C77"/>
    <mergeCell ref="A78:D78"/>
    <mergeCell ref="A79:B79"/>
    <mergeCell ref="A83:C83"/>
    <mergeCell ref="A45:B45"/>
    <mergeCell ref="A46:D46"/>
    <mergeCell ref="A47:D47"/>
    <mergeCell ref="A48:D48"/>
    <mergeCell ref="A52:B52"/>
    <mergeCell ref="A53:D53"/>
    <mergeCell ref="A23:D23"/>
    <mergeCell ref="A24:D24"/>
    <mergeCell ref="A25:D25"/>
    <mergeCell ref="B26:C26"/>
    <mergeCell ref="A39:C39"/>
    <mergeCell ref="A40:D40"/>
    <mergeCell ref="C17:D17"/>
    <mergeCell ref="A18:D18"/>
    <mergeCell ref="B19:C19"/>
    <mergeCell ref="B20:C20"/>
    <mergeCell ref="B21:C21"/>
    <mergeCell ref="B22:C22"/>
    <mergeCell ref="C11:D11"/>
    <mergeCell ref="C12:D12"/>
    <mergeCell ref="A13:D13"/>
    <mergeCell ref="A14:D14"/>
    <mergeCell ref="A15:D15"/>
    <mergeCell ref="C16:D16"/>
    <mergeCell ref="A5:D5"/>
    <mergeCell ref="C6:D6"/>
    <mergeCell ref="C7:D7"/>
    <mergeCell ref="C8:D8"/>
    <mergeCell ref="C9:D9"/>
    <mergeCell ref="C10:D10"/>
    <mergeCell ref="A1:D1"/>
    <mergeCell ref="A2:B2"/>
    <mergeCell ref="C2:D2"/>
    <mergeCell ref="A3:B3"/>
    <mergeCell ref="C3:D3"/>
    <mergeCell ref="A4:D4"/>
  </mergeCells>
  <pageMargins left="0.51181102362204722" right="0.51181102362204722" top="0.78740157480314965" bottom="0.78740157480314965" header="0.31496062992125984" footer="0.31496062992125984"/>
  <pageSetup scale="21" orientation="portrait" horizontalDpi="30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31C835-985C-4B2E-BDBA-4AC6CDEDC78C}">
  <sheetPr codeName="Planilha14">
    <pageSetUpPr fitToPage="1"/>
  </sheetPr>
  <dimension ref="A1:D215"/>
  <sheetViews>
    <sheetView view="pageBreakPreview" topLeftCell="A48" zoomScale="85" zoomScaleNormal="85" zoomScaleSheetLayoutView="85" workbookViewId="0">
      <selection activeCell="D67" sqref="D67"/>
    </sheetView>
  </sheetViews>
  <sheetFormatPr defaultColWidth="9.1796875" defaultRowHeight="15" customHeight="1" outlineLevelRow="3" x14ac:dyDescent="0.35"/>
  <cols>
    <col min="1" max="1" width="16.7265625" customWidth="1"/>
    <col min="2" max="2" width="76.81640625" customWidth="1"/>
    <col min="3" max="3" width="22.81640625" customWidth="1"/>
    <col min="4" max="4" width="23.54296875" customWidth="1"/>
  </cols>
  <sheetData>
    <row r="1" spans="1:4" x14ac:dyDescent="0.35">
      <c r="A1" s="683" t="s">
        <v>6</v>
      </c>
      <c r="B1" s="683"/>
      <c r="C1" s="683"/>
      <c r="D1" s="683"/>
    </row>
    <row r="2" spans="1:4" x14ac:dyDescent="0.35">
      <c r="A2" s="684" t="s">
        <v>12</v>
      </c>
      <c r="B2" s="684"/>
      <c r="C2" s="685" t="s">
        <v>519</v>
      </c>
      <c r="D2" s="686"/>
    </row>
    <row r="3" spans="1:4" x14ac:dyDescent="0.35">
      <c r="A3" s="684" t="s">
        <v>13</v>
      </c>
      <c r="B3" s="684"/>
      <c r="C3" s="685" t="s">
        <v>520</v>
      </c>
      <c r="D3" s="686"/>
    </row>
    <row r="4" spans="1:4" x14ac:dyDescent="0.35">
      <c r="A4" s="687"/>
      <c r="B4" s="687"/>
      <c r="C4" s="687"/>
      <c r="D4" s="687"/>
    </row>
    <row r="5" spans="1:4" x14ac:dyDescent="0.35">
      <c r="A5" s="687" t="s">
        <v>14</v>
      </c>
      <c r="B5" s="687"/>
      <c r="C5" s="687"/>
      <c r="D5" s="687"/>
    </row>
    <row r="6" spans="1:4" x14ac:dyDescent="0.35">
      <c r="A6" s="65" t="s">
        <v>15</v>
      </c>
      <c r="B6" s="63" t="s">
        <v>5</v>
      </c>
      <c r="C6" s="707" t="s">
        <v>144</v>
      </c>
      <c r="D6" s="708"/>
    </row>
    <row r="7" spans="1:4" x14ac:dyDescent="0.35">
      <c r="A7" s="65" t="s">
        <v>16</v>
      </c>
      <c r="B7" s="63" t="s">
        <v>4</v>
      </c>
      <c r="C7" s="690" t="s">
        <v>503</v>
      </c>
      <c r="D7" s="690"/>
    </row>
    <row r="8" spans="1:4" x14ac:dyDescent="0.35">
      <c r="A8" s="25" t="s">
        <v>17</v>
      </c>
      <c r="B8" s="26" t="s">
        <v>18</v>
      </c>
      <c r="C8" s="722" t="s">
        <v>521</v>
      </c>
      <c r="D8" s="723"/>
    </row>
    <row r="9" spans="1:4" x14ac:dyDescent="0.35">
      <c r="A9" s="65" t="s">
        <v>19</v>
      </c>
      <c r="B9" s="63" t="s">
        <v>20</v>
      </c>
      <c r="C9" s="700" t="s">
        <v>21</v>
      </c>
      <c r="D9" s="701"/>
    </row>
    <row r="10" spans="1:4" x14ac:dyDescent="0.35">
      <c r="A10" s="65" t="s">
        <v>22</v>
      </c>
      <c r="B10" s="63" t="s">
        <v>23</v>
      </c>
      <c r="C10" s="700" t="s">
        <v>262</v>
      </c>
      <c r="D10" s="701"/>
    </row>
    <row r="11" spans="1:4" x14ac:dyDescent="0.35">
      <c r="A11" s="65" t="s">
        <v>24</v>
      </c>
      <c r="B11" s="63" t="s">
        <v>251</v>
      </c>
      <c r="C11" s="691">
        <f>Resumo!F14</f>
        <v>5610.65</v>
      </c>
      <c r="D11" s="692"/>
    </row>
    <row r="12" spans="1:4" x14ac:dyDescent="0.35">
      <c r="A12" s="65" t="s">
        <v>25</v>
      </c>
      <c r="B12" s="63" t="s">
        <v>26</v>
      </c>
      <c r="C12" s="693">
        <f>Resumo!I5</f>
        <v>20</v>
      </c>
      <c r="D12" s="694"/>
    </row>
    <row r="13" spans="1:4" x14ac:dyDescent="0.35">
      <c r="A13" s="695"/>
      <c r="B13" s="696"/>
      <c r="C13" s="696"/>
      <c r="D13" s="696"/>
    </row>
    <row r="14" spans="1:4" x14ac:dyDescent="0.35">
      <c r="A14" s="697" t="s">
        <v>27</v>
      </c>
      <c r="B14" s="698"/>
      <c r="C14" s="698"/>
      <c r="D14" s="699"/>
    </row>
    <row r="15" spans="1:4" x14ac:dyDescent="0.35">
      <c r="A15" s="690" t="s">
        <v>28</v>
      </c>
      <c r="B15" s="690"/>
      <c r="C15" s="690"/>
      <c r="D15" s="690"/>
    </row>
    <row r="16" spans="1:4" x14ac:dyDescent="0.35">
      <c r="A16" s="65">
        <v>1</v>
      </c>
      <c r="B16" s="63" t="s">
        <v>29</v>
      </c>
      <c r="C16" s="700" t="s">
        <v>266</v>
      </c>
      <c r="D16" s="701" t="s">
        <v>0</v>
      </c>
    </row>
    <row r="17" spans="1:4" x14ac:dyDescent="0.35">
      <c r="A17" s="65">
        <v>2</v>
      </c>
      <c r="B17" s="27" t="s">
        <v>30</v>
      </c>
      <c r="C17" s="688" t="s">
        <v>263</v>
      </c>
      <c r="D17" s="689"/>
    </row>
    <row r="18" spans="1:4" x14ac:dyDescent="0.35">
      <c r="A18" s="690" t="s">
        <v>31</v>
      </c>
      <c r="B18" s="690"/>
      <c r="C18" s="690"/>
      <c r="D18" s="690"/>
    </row>
    <row r="19" spans="1:4" x14ac:dyDescent="0.4">
      <c r="A19" s="65">
        <v>3</v>
      </c>
      <c r="B19" s="632" t="s">
        <v>3</v>
      </c>
      <c r="C19" s="633"/>
      <c r="D19" s="103">
        <v>1325</v>
      </c>
    </row>
    <row r="20" spans="1:4" x14ac:dyDescent="0.4">
      <c r="A20" s="65">
        <v>4</v>
      </c>
      <c r="B20" s="632" t="s">
        <v>252</v>
      </c>
      <c r="C20" s="633"/>
      <c r="D20" s="155">
        <v>220</v>
      </c>
    </row>
    <row r="21" spans="1:4" x14ac:dyDescent="0.35">
      <c r="A21" s="65">
        <v>5</v>
      </c>
      <c r="B21" s="632" t="s">
        <v>32</v>
      </c>
      <c r="C21" s="633"/>
      <c r="D21" s="73" t="s">
        <v>267</v>
      </c>
    </row>
    <row r="22" spans="1:4" x14ac:dyDescent="0.35">
      <c r="A22" s="65">
        <v>6</v>
      </c>
      <c r="B22" s="632" t="s">
        <v>2</v>
      </c>
      <c r="C22" s="633"/>
      <c r="D22" s="74">
        <v>44562</v>
      </c>
    </row>
    <row r="23" spans="1:4" x14ac:dyDescent="0.35">
      <c r="A23" s="700"/>
      <c r="B23" s="711"/>
      <c r="C23" s="711"/>
      <c r="D23" s="701"/>
    </row>
    <row r="24" spans="1:4" x14ac:dyDescent="0.35">
      <c r="A24" s="712" t="s">
        <v>33</v>
      </c>
      <c r="B24" s="712"/>
      <c r="C24" s="712"/>
      <c r="D24" s="712"/>
    </row>
    <row r="25" spans="1:4" x14ac:dyDescent="0.35">
      <c r="A25" s="713"/>
      <c r="B25" s="714"/>
      <c r="C25" s="714"/>
      <c r="D25" s="694"/>
    </row>
    <row r="26" spans="1:4" x14ac:dyDescent="0.35">
      <c r="A26" s="64">
        <v>1</v>
      </c>
      <c r="B26" s="634" t="s">
        <v>34</v>
      </c>
      <c r="C26" s="636"/>
      <c r="D26" s="64" t="s">
        <v>35</v>
      </c>
    </row>
    <row r="27" spans="1:4" outlineLevel="1" x14ac:dyDescent="0.35">
      <c r="A27" s="65" t="s">
        <v>36</v>
      </c>
      <c r="B27" s="63" t="s">
        <v>146</v>
      </c>
      <c r="C27" s="71">
        <f>'SR - ASG int'!C27</f>
        <v>220</v>
      </c>
      <c r="D27" s="104">
        <f>D19/220*C27</f>
        <v>1325</v>
      </c>
    </row>
    <row r="28" spans="1:4" outlineLevel="1" x14ac:dyDescent="0.35">
      <c r="A28" s="65" t="s">
        <v>16</v>
      </c>
      <c r="B28" s="63" t="s">
        <v>37</v>
      </c>
      <c r="C28" s="28">
        <v>0.1</v>
      </c>
      <c r="D28" s="104">
        <f>D27*10%</f>
        <v>132.5</v>
      </c>
    </row>
    <row r="29" spans="1:4" outlineLevel="1" x14ac:dyDescent="0.35">
      <c r="A29" s="65" t="s">
        <v>17</v>
      </c>
      <c r="B29" s="63" t="s">
        <v>38</v>
      </c>
      <c r="C29" s="28">
        <v>0.4</v>
      </c>
      <c r="D29" s="104">
        <v>0</v>
      </c>
    </row>
    <row r="30" spans="1:4" outlineLevel="1" x14ac:dyDescent="0.35">
      <c r="A30" s="65" t="s">
        <v>19</v>
      </c>
      <c r="B30" s="63" t="s">
        <v>148</v>
      </c>
      <c r="C30" s="156">
        <v>0</v>
      </c>
      <c r="D30" s="105">
        <f>SUM(D31:D32)</f>
        <v>0</v>
      </c>
    </row>
    <row r="31" spans="1:4" outlineLevel="2" x14ac:dyDescent="0.35">
      <c r="A31" s="78" t="s">
        <v>111</v>
      </c>
      <c r="B31" s="63" t="s">
        <v>149</v>
      </c>
      <c r="C31" s="79">
        <v>0.2</v>
      </c>
      <c r="D31" s="105">
        <f>(SUM(D27:D29)/C27)*C31*15*C30</f>
        <v>0</v>
      </c>
    </row>
    <row r="32" spans="1:4" outlineLevel="2" x14ac:dyDescent="0.35">
      <c r="A32" s="78" t="s">
        <v>112</v>
      </c>
      <c r="B32" s="63" t="s">
        <v>150</v>
      </c>
      <c r="C32" s="80">
        <f>C30*(60/52.5)/8</f>
        <v>0</v>
      </c>
      <c r="D32" s="105">
        <f>(SUM(D27:D29)/C27)*(C31)*15*C32</f>
        <v>0</v>
      </c>
    </row>
    <row r="33" spans="1:4" outlineLevel="1" x14ac:dyDescent="0.35">
      <c r="A33" s="65" t="s">
        <v>22</v>
      </c>
      <c r="B33" s="63" t="s">
        <v>151</v>
      </c>
      <c r="C33" s="28" t="s">
        <v>152</v>
      </c>
      <c r="D33" s="1">
        <f>SUM(D34:D37)</f>
        <v>0</v>
      </c>
    </row>
    <row r="34" spans="1:4" outlineLevel="2" x14ac:dyDescent="0.35">
      <c r="A34" s="81" t="s">
        <v>153</v>
      </c>
      <c r="B34" s="82" t="s">
        <v>154</v>
      </c>
      <c r="C34" s="83">
        <v>0</v>
      </c>
      <c r="D34" s="106">
        <f>(SUM($D$27:$D$29)/$C$27)*C34*1.5</f>
        <v>0</v>
      </c>
    </row>
    <row r="35" spans="1:4" outlineLevel="2" x14ac:dyDescent="0.35">
      <c r="A35" s="81" t="s">
        <v>155</v>
      </c>
      <c r="B35" s="84" t="s">
        <v>156</v>
      </c>
      <c r="C35" s="85">
        <v>0</v>
      </c>
      <c r="D35" s="106">
        <f>(SUM($D$27:$D$29)/$C$27)*C35*((60/52.5)*1.2*1.5)</f>
        <v>0</v>
      </c>
    </row>
    <row r="36" spans="1:4" outlineLevel="2" x14ac:dyDescent="0.35">
      <c r="A36" s="81" t="s">
        <v>157</v>
      </c>
      <c r="B36" s="82" t="s">
        <v>158</v>
      </c>
      <c r="C36" s="86">
        <f>C34*0.1429</f>
        <v>0</v>
      </c>
      <c r="D36" s="106">
        <f>(SUM($D$27:$D$29)/$C$27)*C36*2</f>
        <v>0</v>
      </c>
    </row>
    <row r="37" spans="1:4" outlineLevel="2" x14ac:dyDescent="0.35">
      <c r="A37" s="81" t="s">
        <v>159</v>
      </c>
      <c r="B37" s="82" t="s">
        <v>160</v>
      </c>
      <c r="C37" s="86">
        <f>C34*0.1429</f>
        <v>0</v>
      </c>
      <c r="D37" s="106">
        <f>(SUM($D$27:$D$29)/$C$27)*C37*((60/52.5)*1.2*2)</f>
        <v>0</v>
      </c>
    </row>
    <row r="38" spans="1:4" outlineLevel="1" x14ac:dyDescent="0.35">
      <c r="A38" s="65" t="s">
        <v>24</v>
      </c>
      <c r="B38" s="55" t="s">
        <v>39</v>
      </c>
      <c r="C38" s="56">
        <v>0</v>
      </c>
      <c r="D38" s="107">
        <v>0</v>
      </c>
    </row>
    <row r="39" spans="1:4" x14ac:dyDescent="0.35">
      <c r="A39" s="634" t="s">
        <v>40</v>
      </c>
      <c r="B39" s="635"/>
      <c r="C39" s="636"/>
      <c r="D39" s="108">
        <f>SUM(D27:D30,D33,D38)</f>
        <v>1457.5</v>
      </c>
    </row>
    <row r="40" spans="1:4" x14ac:dyDescent="0.35">
      <c r="A40" s="650"/>
      <c r="B40" s="650"/>
      <c r="C40" s="650"/>
      <c r="D40" s="650"/>
    </row>
    <row r="41" spans="1:4" outlineLevel="1" x14ac:dyDescent="0.35">
      <c r="A41" s="87" t="s">
        <v>161</v>
      </c>
      <c r="B41" s="109" t="s">
        <v>162</v>
      </c>
      <c r="C41" s="110" t="s">
        <v>163</v>
      </c>
      <c r="D41" s="110" t="s">
        <v>35</v>
      </c>
    </row>
    <row r="42" spans="1:4" outlineLevel="1" x14ac:dyDescent="0.35">
      <c r="A42" s="111" t="s">
        <v>36</v>
      </c>
      <c r="B42" s="27" t="s">
        <v>164</v>
      </c>
      <c r="C42" s="88">
        <v>0</v>
      </c>
      <c r="D42" s="112">
        <f>(SUM(D27)/$C$27)*C42*1.5</f>
        <v>0</v>
      </c>
    </row>
    <row r="43" spans="1:4" outlineLevel="1" x14ac:dyDescent="0.35">
      <c r="A43" s="113" t="s">
        <v>17</v>
      </c>
      <c r="B43" s="114" t="s">
        <v>165</v>
      </c>
      <c r="C43" s="115">
        <v>0</v>
      </c>
      <c r="D43" s="104">
        <f>C43*177</f>
        <v>0</v>
      </c>
    </row>
    <row r="44" spans="1:4" outlineLevel="1" x14ac:dyDescent="0.35">
      <c r="A44" s="65" t="s">
        <v>19</v>
      </c>
      <c r="B44" s="55" t="s">
        <v>39</v>
      </c>
      <c r="C44" s="56">
        <v>0</v>
      </c>
      <c r="D44" s="107">
        <v>0</v>
      </c>
    </row>
    <row r="45" spans="1:4" x14ac:dyDescent="0.35">
      <c r="A45" s="644" t="s">
        <v>166</v>
      </c>
      <c r="B45" s="645"/>
      <c r="C45" s="30">
        <f>D45/D39</f>
        <v>0</v>
      </c>
      <c r="D45" s="116">
        <f>SUM(D42:D43)</f>
        <v>0</v>
      </c>
    </row>
    <row r="46" spans="1:4" x14ac:dyDescent="0.35">
      <c r="A46" s="646"/>
      <c r="B46" s="647"/>
      <c r="C46" s="647"/>
      <c r="D46" s="648"/>
    </row>
    <row r="47" spans="1:4" x14ac:dyDescent="0.35">
      <c r="A47" s="663" t="s">
        <v>41</v>
      </c>
      <c r="B47" s="664"/>
      <c r="C47" s="664"/>
      <c r="D47" s="665"/>
    </row>
    <row r="48" spans="1:4" outlineLevel="1" x14ac:dyDescent="0.35">
      <c r="A48" s="646"/>
      <c r="B48" s="647"/>
      <c r="C48" s="647"/>
      <c r="D48" s="648"/>
    </row>
    <row r="49" spans="1:4" outlineLevel="1" x14ac:dyDescent="0.35">
      <c r="A49" s="110" t="s">
        <v>42</v>
      </c>
      <c r="B49" s="109" t="s">
        <v>43</v>
      </c>
      <c r="C49" s="110" t="s">
        <v>44</v>
      </c>
      <c r="D49" s="110" t="s">
        <v>35</v>
      </c>
    </row>
    <row r="50" spans="1:4" outlineLevel="2" x14ac:dyDescent="0.35">
      <c r="A50" s="113" t="s">
        <v>36</v>
      </c>
      <c r="B50" s="114" t="s">
        <v>45</v>
      </c>
      <c r="C50" s="29">
        <f>1/12</f>
        <v>8.3299999999999999E-2</v>
      </c>
      <c r="D50" s="104">
        <f>C50*D39</f>
        <v>121.41</v>
      </c>
    </row>
    <row r="51" spans="1:4" outlineLevel="2" x14ac:dyDescent="0.35">
      <c r="A51" s="113" t="s">
        <v>16</v>
      </c>
      <c r="B51" s="114" t="s">
        <v>113</v>
      </c>
      <c r="C51" s="29">
        <f>IF(C12&gt;60,(1/C12/3)*5,IF(C12&gt;48,(1/C12/3)*4,IF(C12&gt;36,(1/C12/3)*3,IF(C12&gt;24,(1/C12/3)*2,IF(C12&gt;12,(1/C12/3)*1,0)))))</f>
        <v>1.67E-2</v>
      </c>
      <c r="D51" s="104">
        <f>C51*D39</f>
        <v>24.34</v>
      </c>
    </row>
    <row r="52" spans="1:4" outlineLevel="1" x14ac:dyDescent="0.35">
      <c r="A52" s="644" t="s">
        <v>11</v>
      </c>
      <c r="B52" s="645"/>
      <c r="C52" s="30">
        <f>SUM(C50:C51)</f>
        <v>0.1</v>
      </c>
      <c r="D52" s="116">
        <f>SUM(D50:D51)</f>
        <v>145.75</v>
      </c>
    </row>
    <row r="53" spans="1:4" outlineLevel="1" x14ac:dyDescent="0.35">
      <c r="A53" s="646"/>
      <c r="B53" s="647"/>
      <c r="C53" s="647"/>
      <c r="D53" s="648"/>
    </row>
    <row r="54" spans="1:4" outlineLevel="1" x14ac:dyDescent="0.35">
      <c r="A54" s="110" t="s">
        <v>46</v>
      </c>
      <c r="B54" s="117" t="s">
        <v>47</v>
      </c>
      <c r="C54" s="110" t="s">
        <v>44</v>
      </c>
      <c r="D54" s="118" t="s">
        <v>35</v>
      </c>
    </row>
    <row r="55" spans="1:4" outlineLevel="2" x14ac:dyDescent="0.35">
      <c r="A55" s="111" t="s">
        <v>36</v>
      </c>
      <c r="B55" s="31" t="s">
        <v>48</v>
      </c>
      <c r="C55" s="32">
        <v>0.2</v>
      </c>
      <c r="D55" s="104">
        <f t="shared" ref="D55:D62" si="0">C55*($D$39+$D$52)</f>
        <v>320.64999999999998</v>
      </c>
    </row>
    <row r="56" spans="1:4" outlineLevel="2" x14ac:dyDescent="0.35">
      <c r="A56" s="111" t="s">
        <v>16</v>
      </c>
      <c r="B56" s="31" t="s">
        <v>49</v>
      </c>
      <c r="C56" s="32">
        <v>2.5000000000000001E-2</v>
      </c>
      <c r="D56" s="104">
        <f t="shared" si="0"/>
        <v>40.08</v>
      </c>
    </row>
    <row r="57" spans="1:4" outlineLevel="2" x14ac:dyDescent="0.35">
      <c r="A57" s="111" t="s">
        <v>17</v>
      </c>
      <c r="B57" s="31" t="s">
        <v>167</v>
      </c>
      <c r="C57" s="66">
        <v>0.03</v>
      </c>
      <c r="D57" s="104">
        <f t="shared" si="0"/>
        <v>48.1</v>
      </c>
    </row>
    <row r="58" spans="1:4" outlineLevel="2" x14ac:dyDescent="0.35">
      <c r="A58" s="111" t="s">
        <v>19</v>
      </c>
      <c r="B58" s="31" t="s">
        <v>168</v>
      </c>
      <c r="C58" s="32">
        <v>1.4999999999999999E-2</v>
      </c>
      <c r="D58" s="104">
        <f t="shared" si="0"/>
        <v>24.05</v>
      </c>
    </row>
    <row r="59" spans="1:4" outlineLevel="2" x14ac:dyDescent="0.35">
      <c r="A59" s="111" t="s">
        <v>22</v>
      </c>
      <c r="B59" s="31" t="s">
        <v>169</v>
      </c>
      <c r="C59" s="32">
        <v>0.01</v>
      </c>
      <c r="D59" s="104">
        <f t="shared" si="0"/>
        <v>16.03</v>
      </c>
    </row>
    <row r="60" spans="1:4" outlineLevel="2" x14ac:dyDescent="0.35">
      <c r="A60" s="111" t="s">
        <v>24</v>
      </c>
      <c r="B60" s="31" t="s">
        <v>50</v>
      </c>
      <c r="C60" s="32">
        <v>6.0000000000000001E-3</v>
      </c>
      <c r="D60" s="104">
        <f t="shared" si="0"/>
        <v>9.6199999999999992</v>
      </c>
    </row>
    <row r="61" spans="1:4" outlineLevel="2" x14ac:dyDescent="0.35">
      <c r="A61" s="111" t="s">
        <v>25</v>
      </c>
      <c r="B61" s="31" t="s">
        <v>51</v>
      </c>
      <c r="C61" s="32">
        <v>2E-3</v>
      </c>
      <c r="D61" s="104">
        <f t="shared" si="0"/>
        <v>3.21</v>
      </c>
    </row>
    <row r="62" spans="1:4" outlineLevel="2" x14ac:dyDescent="0.35">
      <c r="A62" s="111" t="s">
        <v>52</v>
      </c>
      <c r="B62" s="31" t="s">
        <v>53</v>
      </c>
      <c r="C62" s="32">
        <v>0.08</v>
      </c>
      <c r="D62" s="104">
        <f t="shared" si="0"/>
        <v>128.26</v>
      </c>
    </row>
    <row r="63" spans="1:4" outlineLevel="1" x14ac:dyDescent="0.35">
      <c r="A63" s="644" t="s">
        <v>11</v>
      </c>
      <c r="B63" s="645"/>
      <c r="C63" s="33">
        <f>SUM(C55:C62)</f>
        <v>0.36799999999999999</v>
      </c>
      <c r="D63" s="119">
        <f>SUM(D55:D62)</f>
        <v>590</v>
      </c>
    </row>
    <row r="64" spans="1:4" outlineLevel="1" x14ac:dyDescent="0.35">
      <c r="A64" s="646"/>
      <c r="B64" s="647"/>
      <c r="C64" s="647"/>
      <c r="D64" s="648"/>
    </row>
    <row r="65" spans="1:4" outlineLevel="1" x14ac:dyDescent="0.35">
      <c r="A65" s="110" t="s">
        <v>54</v>
      </c>
      <c r="B65" s="117" t="s">
        <v>55</v>
      </c>
      <c r="C65" s="110" t="s">
        <v>56</v>
      </c>
      <c r="D65" s="110" t="s">
        <v>35</v>
      </c>
    </row>
    <row r="66" spans="1:4" outlineLevel="2" x14ac:dyDescent="0.35">
      <c r="A66" s="111" t="s">
        <v>36</v>
      </c>
      <c r="B66" s="31" t="s">
        <v>57</v>
      </c>
      <c r="C66" s="120">
        <v>4</v>
      </c>
      <c r="D66" s="121">
        <f>IF(D67+D68&gt;0,(D67+D68),0)</f>
        <v>96.5</v>
      </c>
    </row>
    <row r="67" spans="1:4" outlineLevel="3" x14ac:dyDescent="0.35">
      <c r="A67" s="122" t="s">
        <v>110</v>
      </c>
      <c r="B67" s="31" t="s">
        <v>170</v>
      </c>
      <c r="C67" s="123">
        <v>22</v>
      </c>
      <c r="D67" s="124">
        <f>C66*C67*2</f>
        <v>176</v>
      </c>
    </row>
    <row r="68" spans="1:4" outlineLevel="3" x14ac:dyDescent="0.35">
      <c r="A68" s="122" t="s">
        <v>114</v>
      </c>
      <c r="B68" s="31" t="s">
        <v>171</v>
      </c>
      <c r="C68" s="125">
        <v>0.06</v>
      </c>
      <c r="D68" s="124">
        <f>-D27*C68</f>
        <v>-79.5</v>
      </c>
    </row>
    <row r="69" spans="1:4" outlineLevel="2" x14ac:dyDescent="0.35">
      <c r="A69" s="111" t="s">
        <v>16</v>
      </c>
      <c r="B69" s="31" t="s">
        <v>58</v>
      </c>
      <c r="C69" s="382">
        <f>290/22</f>
        <v>13.182</v>
      </c>
      <c r="D69" s="121">
        <f>D70+D71</f>
        <v>290</v>
      </c>
    </row>
    <row r="70" spans="1:4" outlineLevel="3" x14ac:dyDescent="0.35">
      <c r="A70" s="122" t="s">
        <v>90</v>
      </c>
      <c r="B70" s="31" t="s">
        <v>172</v>
      </c>
      <c r="C70" s="123">
        <v>22</v>
      </c>
      <c r="D70" s="124">
        <f>C69*C70</f>
        <v>290</v>
      </c>
    </row>
    <row r="71" spans="1:4" outlineLevel="3" x14ac:dyDescent="0.35">
      <c r="A71" s="122" t="s">
        <v>115</v>
      </c>
      <c r="B71" s="31" t="s">
        <v>91</v>
      </c>
      <c r="C71" s="127">
        <f>'SR - ASG int'!C71</f>
        <v>0</v>
      </c>
      <c r="D71" s="124">
        <f>D70*C71</f>
        <v>0</v>
      </c>
    </row>
    <row r="72" spans="1:4" outlineLevel="2" x14ac:dyDescent="0.35">
      <c r="A72" s="111" t="s">
        <v>17</v>
      </c>
      <c r="B72" s="75" t="s">
        <v>291</v>
      </c>
      <c r="C72" s="126">
        <f>'SR - ASG int'!C72</f>
        <v>9.6999999999999993</v>
      </c>
      <c r="D72" s="129">
        <f>C72</f>
        <v>9.6999999999999993</v>
      </c>
    </row>
    <row r="73" spans="1:4" outlineLevel="2" x14ac:dyDescent="0.35">
      <c r="A73" s="111" t="s">
        <v>19</v>
      </c>
      <c r="B73" s="76" t="s">
        <v>293</v>
      </c>
      <c r="C73" s="126">
        <f>140*3</f>
        <v>420</v>
      </c>
      <c r="D73" s="129">
        <f>C73*C152</f>
        <v>0.84</v>
      </c>
    </row>
    <row r="74" spans="1:4" outlineLevel="2" x14ac:dyDescent="0.35">
      <c r="A74" s="111" t="s">
        <v>22</v>
      </c>
      <c r="B74" s="75" t="s">
        <v>292</v>
      </c>
      <c r="C74" s="126">
        <v>21</v>
      </c>
      <c r="D74" s="129">
        <f>C74</f>
        <v>21</v>
      </c>
    </row>
    <row r="75" spans="1:4" outlineLevel="2" x14ac:dyDescent="0.35">
      <c r="A75" s="111" t="s">
        <v>24</v>
      </c>
      <c r="B75" s="75" t="s">
        <v>554</v>
      </c>
      <c r="C75" s="128">
        <v>0</v>
      </c>
      <c r="D75" s="129">
        <v>97</v>
      </c>
    </row>
    <row r="76" spans="1:4" outlineLevel="2" x14ac:dyDescent="0.35">
      <c r="A76" s="111" t="s">
        <v>25</v>
      </c>
      <c r="B76" s="75" t="s">
        <v>39</v>
      </c>
      <c r="C76" s="126">
        <v>0</v>
      </c>
      <c r="D76" s="130">
        <f>C76</f>
        <v>0</v>
      </c>
    </row>
    <row r="77" spans="1:4" outlineLevel="1" x14ac:dyDescent="0.35">
      <c r="A77" s="644" t="s">
        <v>59</v>
      </c>
      <c r="B77" s="657"/>
      <c r="C77" s="645"/>
      <c r="D77" s="116">
        <f>SUM(D66,D69,D72:D76)</f>
        <v>515.04</v>
      </c>
    </row>
    <row r="78" spans="1:4" outlineLevel="1" x14ac:dyDescent="0.35">
      <c r="A78" s="646"/>
      <c r="B78" s="647"/>
      <c r="C78" s="647"/>
      <c r="D78" s="648"/>
    </row>
    <row r="79" spans="1:4" outlineLevel="1" x14ac:dyDescent="0.35">
      <c r="A79" s="661" t="s">
        <v>60</v>
      </c>
      <c r="B79" s="662"/>
      <c r="C79" s="110" t="s">
        <v>44</v>
      </c>
      <c r="D79" s="110" t="s">
        <v>35</v>
      </c>
    </row>
    <row r="80" spans="1:4" outlineLevel="1" x14ac:dyDescent="0.35">
      <c r="A80" s="111" t="s">
        <v>61</v>
      </c>
      <c r="B80" s="31" t="s">
        <v>43</v>
      </c>
      <c r="C80" s="34">
        <f>C52</f>
        <v>0.1</v>
      </c>
      <c r="D80" s="104">
        <f>D52</f>
        <v>145.75</v>
      </c>
    </row>
    <row r="81" spans="1:4" outlineLevel="1" x14ac:dyDescent="0.35">
      <c r="A81" s="111" t="s">
        <v>46</v>
      </c>
      <c r="B81" s="31" t="s">
        <v>47</v>
      </c>
      <c r="C81" s="34">
        <f>C63</f>
        <v>0.36799999999999999</v>
      </c>
      <c r="D81" s="104">
        <f>D63</f>
        <v>590</v>
      </c>
    </row>
    <row r="82" spans="1:4" outlineLevel="1" x14ac:dyDescent="0.35">
      <c r="A82" s="111" t="s">
        <v>62</v>
      </c>
      <c r="B82" s="31" t="s">
        <v>55</v>
      </c>
      <c r="C82" s="34">
        <f>D77/D39</f>
        <v>0.35339999999999999</v>
      </c>
      <c r="D82" s="104">
        <f>D77</f>
        <v>515.04</v>
      </c>
    </row>
    <row r="83" spans="1:4" x14ac:dyDescent="0.35">
      <c r="A83" s="644" t="s">
        <v>11</v>
      </c>
      <c r="B83" s="657"/>
      <c r="C83" s="645"/>
      <c r="D83" s="116">
        <f>SUM(D80:D82)</f>
        <v>1250.79</v>
      </c>
    </row>
    <row r="84" spans="1:4" x14ac:dyDescent="0.35">
      <c r="A84" s="646"/>
      <c r="B84" s="647"/>
      <c r="C84" s="647"/>
      <c r="D84" s="648"/>
    </row>
    <row r="85" spans="1:4" x14ac:dyDescent="0.35">
      <c r="A85" s="680" t="s">
        <v>173</v>
      </c>
      <c r="B85" s="681"/>
      <c r="C85" s="681"/>
      <c r="D85" s="682"/>
    </row>
    <row r="86" spans="1:4" outlineLevel="1" x14ac:dyDescent="0.35">
      <c r="A86" s="646"/>
      <c r="B86" s="647"/>
      <c r="C86" s="647"/>
      <c r="D86" s="648"/>
    </row>
    <row r="87" spans="1:4" outlineLevel="1" x14ac:dyDescent="0.35">
      <c r="A87" s="64" t="s">
        <v>174</v>
      </c>
      <c r="B87" s="109" t="s">
        <v>175</v>
      </c>
      <c r="C87" s="110" t="s">
        <v>44</v>
      </c>
      <c r="D87" s="110" t="s">
        <v>35</v>
      </c>
    </row>
    <row r="88" spans="1:4" outlineLevel="2" x14ac:dyDescent="0.35">
      <c r="A88" s="35" t="s">
        <v>36</v>
      </c>
      <c r="B88" s="36" t="s">
        <v>176</v>
      </c>
      <c r="C88" s="35" t="s">
        <v>152</v>
      </c>
      <c r="D88" s="131">
        <f>IF(C99&gt;1,SUM(D89:D92)*2,SUM(D89:D92))</f>
        <v>2053.86</v>
      </c>
    </row>
    <row r="89" spans="1:4" hidden="1" outlineLevel="3" x14ac:dyDescent="0.35">
      <c r="A89" s="37" t="s">
        <v>177</v>
      </c>
      <c r="B89" s="38" t="s">
        <v>178</v>
      </c>
      <c r="C89" s="35">
        <f>(IF(C12&gt;60,45,IF(C12&gt;48,42,IF(C12&gt;36,39,IF(C12&gt;24,36,IF(C12&gt;12,33,30)))))/30)</f>
        <v>1.1000000000000001</v>
      </c>
      <c r="D89" s="131">
        <f>D39*C89</f>
        <v>1603.25</v>
      </c>
    </row>
    <row r="90" spans="1:4" hidden="1" outlineLevel="3" x14ac:dyDescent="0.35">
      <c r="A90" s="37" t="s">
        <v>179</v>
      </c>
      <c r="B90" s="38" t="s">
        <v>180</v>
      </c>
      <c r="C90" s="29">
        <f>1/12</f>
        <v>8.3299999999999999E-2</v>
      </c>
      <c r="D90" s="131">
        <f>C90*D89</f>
        <v>133.55000000000001</v>
      </c>
    </row>
    <row r="91" spans="1:4" hidden="1" outlineLevel="3" x14ac:dyDescent="0.35">
      <c r="A91" s="37" t="s">
        <v>181</v>
      </c>
      <c r="B91" s="38" t="s">
        <v>182</v>
      </c>
      <c r="C91" s="29">
        <f>(1/12)+(1/12/3)</f>
        <v>0.1111</v>
      </c>
      <c r="D91" s="132">
        <f>C91*D89</f>
        <v>178.12</v>
      </c>
    </row>
    <row r="92" spans="1:4" hidden="1" outlineLevel="3" x14ac:dyDescent="0.35">
      <c r="A92" s="37" t="s">
        <v>183</v>
      </c>
      <c r="B92" s="38" t="s">
        <v>184</v>
      </c>
      <c r="C92" s="39">
        <v>0.08</v>
      </c>
      <c r="D92" s="131">
        <f>SUM(D89:D90)*C92</f>
        <v>138.94</v>
      </c>
    </row>
    <row r="93" spans="1:4" outlineLevel="2" collapsed="1" x14ac:dyDescent="0.35">
      <c r="A93" s="35" t="s">
        <v>16</v>
      </c>
      <c r="B93" s="36" t="s">
        <v>185</v>
      </c>
      <c r="C93" s="40">
        <v>0.4</v>
      </c>
      <c r="D93" s="131">
        <f>C93*D94</f>
        <v>1027.6400000000001</v>
      </c>
    </row>
    <row r="94" spans="1:4" hidden="1" outlineLevel="3" x14ac:dyDescent="0.35">
      <c r="A94" s="35" t="s">
        <v>186</v>
      </c>
      <c r="B94" s="36" t="s">
        <v>187</v>
      </c>
      <c r="C94" s="40">
        <f>C62</f>
        <v>0.08</v>
      </c>
      <c r="D94" s="131">
        <f>C94*D95</f>
        <v>2569.09</v>
      </c>
    </row>
    <row r="95" spans="1:4" hidden="1" outlineLevel="3" x14ac:dyDescent="0.35">
      <c r="A95" s="35" t="s">
        <v>188</v>
      </c>
      <c r="B95" s="41" t="s">
        <v>116</v>
      </c>
      <c r="C95" s="42" t="s">
        <v>152</v>
      </c>
      <c r="D95" s="132">
        <f>SUM(D96:D98)</f>
        <v>32113.58</v>
      </c>
    </row>
    <row r="96" spans="1:4" hidden="1" outlineLevel="3" x14ac:dyDescent="0.35">
      <c r="A96" s="37" t="s">
        <v>189</v>
      </c>
      <c r="B96" s="38" t="s">
        <v>190</v>
      </c>
      <c r="C96" s="43">
        <f>C12-C98</f>
        <v>19</v>
      </c>
      <c r="D96" s="131">
        <f>D39*C96</f>
        <v>27692.5</v>
      </c>
    </row>
    <row r="97" spans="1:4" hidden="1" outlineLevel="3" x14ac:dyDescent="0.35">
      <c r="A97" s="37" t="s">
        <v>191</v>
      </c>
      <c r="B97" s="38" t="s">
        <v>192</v>
      </c>
      <c r="C97" s="44">
        <f>C12/12</f>
        <v>1.7</v>
      </c>
      <c r="D97" s="131">
        <f>D39*C97</f>
        <v>2477.75</v>
      </c>
    </row>
    <row r="98" spans="1:4" hidden="1" outlineLevel="3" x14ac:dyDescent="0.35">
      <c r="A98" s="37" t="s">
        <v>193</v>
      </c>
      <c r="B98" s="38" t="s">
        <v>194</v>
      </c>
      <c r="C98" s="42">
        <f>IF(C12&gt;60,5,IF(C12&gt;48,4,IF(C12&gt;36,3,IF(C12&gt;24,2,IF(C12&gt;12,1,0)))))</f>
        <v>1</v>
      </c>
      <c r="D98" s="132">
        <f>D39*C98*1.33333333333333</f>
        <v>1943.33</v>
      </c>
    </row>
    <row r="99" spans="1:4" outlineLevel="1" x14ac:dyDescent="0.35">
      <c r="A99" s="644" t="s">
        <v>11</v>
      </c>
      <c r="B99" s="645"/>
      <c r="C99" s="67">
        <f>'SR - ASG int'!C99</f>
        <v>5.5500000000000001E-2</v>
      </c>
      <c r="D99" s="116">
        <f>IF(C99&gt;1,D88+D93,(D88+D93)*C99)</f>
        <v>171.02</v>
      </c>
    </row>
    <row r="100" spans="1:4" outlineLevel="1" x14ac:dyDescent="0.35">
      <c r="A100" s="658"/>
      <c r="B100" s="659"/>
      <c r="C100" s="659"/>
      <c r="D100" s="660"/>
    </row>
    <row r="101" spans="1:4" outlineLevel="1" x14ac:dyDescent="0.35">
      <c r="A101" s="64" t="s">
        <v>195</v>
      </c>
      <c r="B101" s="109" t="s">
        <v>196</v>
      </c>
      <c r="C101" s="110" t="s">
        <v>44</v>
      </c>
      <c r="D101" s="110" t="s">
        <v>35</v>
      </c>
    </row>
    <row r="102" spans="1:4" outlineLevel="2" x14ac:dyDescent="0.35">
      <c r="A102" s="35" t="s">
        <v>36</v>
      </c>
      <c r="B102" s="41" t="s">
        <v>197</v>
      </c>
      <c r="C102" s="45">
        <f>IF(C111&gt;1,(1/30*7)*2,(1/30*7))</f>
        <v>0.23330000000000001</v>
      </c>
      <c r="D102" s="132">
        <f>C102*SUM(D103:D107)</f>
        <v>661.85</v>
      </c>
    </row>
    <row r="103" spans="1:4" hidden="1" outlineLevel="3" x14ac:dyDescent="0.35">
      <c r="A103" s="37" t="s">
        <v>177</v>
      </c>
      <c r="B103" s="38" t="s">
        <v>198</v>
      </c>
      <c r="C103" s="35">
        <v>1</v>
      </c>
      <c r="D103" s="131">
        <f>D39</f>
        <v>1457.5</v>
      </c>
    </row>
    <row r="104" spans="1:4" hidden="1" outlineLevel="3" x14ac:dyDescent="0.35">
      <c r="A104" s="37" t="s">
        <v>179</v>
      </c>
      <c r="B104" s="38" t="s">
        <v>199</v>
      </c>
      <c r="C104" s="29">
        <f>1/12</f>
        <v>8.3299999999999999E-2</v>
      </c>
      <c r="D104" s="131">
        <f>C104*D103</f>
        <v>121.41</v>
      </c>
    </row>
    <row r="105" spans="1:4" hidden="1" outlineLevel="3" x14ac:dyDescent="0.35">
      <c r="A105" s="37" t="s">
        <v>181</v>
      </c>
      <c r="B105" s="38" t="s">
        <v>200</v>
      </c>
      <c r="C105" s="29">
        <f>(1/12)+(1/12/3)</f>
        <v>0.1111</v>
      </c>
      <c r="D105" s="131">
        <f>C105*D103</f>
        <v>161.93</v>
      </c>
    </row>
    <row r="106" spans="1:4" hidden="1" outlineLevel="3" x14ac:dyDescent="0.35">
      <c r="A106" s="37" t="s">
        <v>183</v>
      </c>
      <c r="B106" s="46" t="s">
        <v>63</v>
      </c>
      <c r="C106" s="47">
        <f>C63</f>
        <v>0.36799999999999999</v>
      </c>
      <c r="D106" s="132">
        <f>C106*(D103+D104)</f>
        <v>581.04</v>
      </c>
    </row>
    <row r="107" spans="1:4" hidden="1" outlineLevel="3" x14ac:dyDescent="0.35">
      <c r="A107" s="37" t="s">
        <v>201</v>
      </c>
      <c r="B107" s="46" t="s">
        <v>202</v>
      </c>
      <c r="C107" s="42">
        <v>1</v>
      </c>
      <c r="D107" s="132">
        <f>D77</f>
        <v>515.04</v>
      </c>
    </row>
    <row r="108" spans="1:4" outlineLevel="2" collapsed="1" x14ac:dyDescent="0.35">
      <c r="A108" s="35" t="s">
        <v>16</v>
      </c>
      <c r="B108" s="36" t="s">
        <v>203</v>
      </c>
      <c r="C108" s="40">
        <v>0.4</v>
      </c>
      <c r="D108" s="131">
        <f>C108*D109</f>
        <v>1027.6400000000001</v>
      </c>
    </row>
    <row r="109" spans="1:4" outlineLevel="2" x14ac:dyDescent="0.35">
      <c r="A109" s="35" t="s">
        <v>186</v>
      </c>
      <c r="B109" s="36" t="s">
        <v>187</v>
      </c>
      <c r="C109" s="40">
        <f>C62</f>
        <v>0.08</v>
      </c>
      <c r="D109" s="131">
        <f>C109*D110</f>
        <v>2569.09</v>
      </c>
    </row>
    <row r="110" spans="1:4" outlineLevel="2" x14ac:dyDescent="0.35">
      <c r="A110" s="35" t="s">
        <v>188</v>
      </c>
      <c r="B110" s="41" t="s">
        <v>116</v>
      </c>
      <c r="C110" s="42" t="s">
        <v>152</v>
      </c>
      <c r="D110" s="132">
        <f>D95</f>
        <v>32113.58</v>
      </c>
    </row>
    <row r="111" spans="1:4" outlineLevel="1" x14ac:dyDescent="0.35">
      <c r="A111" s="644" t="s">
        <v>11</v>
      </c>
      <c r="B111" s="645"/>
      <c r="C111" s="67">
        <f>'SR - ASG int'!C111</f>
        <v>0.94450000000000001</v>
      </c>
      <c r="D111" s="116">
        <f>IF(C111&gt;1,D102+D108,(D102+D108)*C111)</f>
        <v>1595.72</v>
      </c>
    </row>
    <row r="112" spans="1:4" outlineLevel="1" x14ac:dyDescent="0.35">
      <c r="A112" s="658"/>
      <c r="B112" s="659"/>
      <c r="C112" s="659"/>
      <c r="D112" s="660"/>
    </row>
    <row r="113" spans="1:4" outlineLevel="1" x14ac:dyDescent="0.35">
      <c r="A113" s="64" t="s">
        <v>204</v>
      </c>
      <c r="B113" s="109" t="s">
        <v>205</v>
      </c>
      <c r="C113" s="110" t="s">
        <v>44</v>
      </c>
      <c r="D113" s="110" t="s">
        <v>35</v>
      </c>
    </row>
    <row r="114" spans="1:4" outlineLevel="2" x14ac:dyDescent="0.35">
      <c r="A114" s="111" t="s">
        <v>36</v>
      </c>
      <c r="B114" s="31" t="s">
        <v>206</v>
      </c>
      <c r="C114" s="34">
        <f>IF(C12&gt;60,(D39/12*(C12-60))/C12/D39,IF(C12&gt;48,(D39/12*(C12-48))/C12/D39,IF(C12&gt;36,(D39/12*(C12-36))/C12/D39,IF(C12&gt;24,(D39/12*(C12-24))/C12/D39,IF(C12&gt;12,((D39/12*(C12-12))/C12/D39),1/12)))))</f>
        <v>3.3300000000000003E-2</v>
      </c>
      <c r="D114" s="133">
        <f>C114*D39</f>
        <v>48.53</v>
      </c>
    </row>
    <row r="115" spans="1:4" outlineLevel="2" x14ac:dyDescent="0.35">
      <c r="A115" s="111" t="s">
        <v>16</v>
      </c>
      <c r="B115" s="48" t="s">
        <v>207</v>
      </c>
      <c r="C115" s="34">
        <f>C114/3</f>
        <v>1.11E-2</v>
      </c>
      <c r="D115" s="134">
        <f>C115*D39</f>
        <v>16.18</v>
      </c>
    </row>
    <row r="116" spans="1:4" outlineLevel="1" x14ac:dyDescent="0.35">
      <c r="A116" s="644" t="s">
        <v>11</v>
      </c>
      <c r="B116" s="645"/>
      <c r="C116" s="30">
        <f>C114+C115</f>
        <v>4.4400000000000002E-2</v>
      </c>
      <c r="D116" s="116">
        <f>SUM(D114:D115)</f>
        <v>64.709999999999994</v>
      </c>
    </row>
    <row r="117" spans="1:4" outlineLevel="1" x14ac:dyDescent="0.35">
      <c r="A117" s="658"/>
      <c r="B117" s="659"/>
      <c r="C117" s="659"/>
      <c r="D117" s="660"/>
    </row>
    <row r="118" spans="1:4" outlineLevel="1" x14ac:dyDescent="0.35">
      <c r="A118" s="661" t="s">
        <v>208</v>
      </c>
      <c r="B118" s="662"/>
      <c r="C118" s="110" t="s">
        <v>44</v>
      </c>
      <c r="D118" s="110" t="s">
        <v>35</v>
      </c>
    </row>
    <row r="119" spans="1:4" outlineLevel="1" x14ac:dyDescent="0.35">
      <c r="A119" s="111" t="s">
        <v>174</v>
      </c>
      <c r="B119" s="31" t="s">
        <v>175</v>
      </c>
      <c r="C119" s="34">
        <f>C99</f>
        <v>5.5500000000000001E-2</v>
      </c>
      <c r="D119" s="104">
        <f>D99</f>
        <v>171.02</v>
      </c>
    </row>
    <row r="120" spans="1:4" outlineLevel="1" x14ac:dyDescent="0.35">
      <c r="A120" s="113" t="s">
        <v>195</v>
      </c>
      <c r="B120" s="31" t="s">
        <v>196</v>
      </c>
      <c r="C120" s="49">
        <f>C111</f>
        <v>0.94450000000000001</v>
      </c>
      <c r="D120" s="104">
        <f>D111</f>
        <v>1595.72</v>
      </c>
    </row>
    <row r="121" spans="1:4" outlineLevel="1" x14ac:dyDescent="0.35">
      <c r="A121" s="679" t="s">
        <v>209</v>
      </c>
      <c r="B121" s="679"/>
      <c r="C121" s="679"/>
      <c r="D121" s="135">
        <f>D119+D120</f>
        <v>1766.74</v>
      </c>
    </row>
    <row r="122" spans="1:4" outlineLevel="1" x14ac:dyDescent="0.35">
      <c r="A122" s="675" t="s">
        <v>210</v>
      </c>
      <c r="B122" s="676"/>
      <c r="C122" s="68">
        <f>'SR - ASG int'!C122</f>
        <v>0.63570000000000004</v>
      </c>
      <c r="D122" s="58">
        <f>C122*D121</f>
        <v>1123.1199999999999</v>
      </c>
    </row>
    <row r="123" spans="1:4" outlineLevel="1" x14ac:dyDescent="0.35">
      <c r="A123" s="675" t="s">
        <v>211</v>
      </c>
      <c r="B123" s="676"/>
      <c r="C123" s="68">
        <f>'SR - ASG int'!C123</f>
        <v>1.0999999999999999E-2</v>
      </c>
      <c r="D123" s="58">
        <f>(D50+(D116/2))*-C123</f>
        <v>-1.69</v>
      </c>
    </row>
    <row r="124" spans="1:4" outlineLevel="1" x14ac:dyDescent="0.35">
      <c r="A124" s="677" t="s">
        <v>212</v>
      </c>
      <c r="B124" s="678"/>
      <c r="C124" s="72">
        <f>1/C12</f>
        <v>0.05</v>
      </c>
      <c r="D124" s="59">
        <f>(D122+D123)*C124</f>
        <v>56.07</v>
      </c>
    </row>
    <row r="125" spans="1:4" outlineLevel="1" x14ac:dyDescent="0.35">
      <c r="A125" s="113" t="s">
        <v>204</v>
      </c>
      <c r="B125" s="31" t="s">
        <v>213</v>
      </c>
      <c r="C125" s="49"/>
      <c r="D125" s="124">
        <f>D116</f>
        <v>64.709999999999994</v>
      </c>
    </row>
    <row r="126" spans="1:4" x14ac:dyDescent="0.35">
      <c r="A126" s="644" t="s">
        <v>11</v>
      </c>
      <c r="B126" s="645"/>
      <c r="C126" s="30"/>
      <c r="D126" s="136">
        <f>D124+D125</f>
        <v>120.78</v>
      </c>
    </row>
    <row r="127" spans="1:4" x14ac:dyDescent="0.35">
      <c r="A127" s="646"/>
      <c r="B127" s="647"/>
      <c r="C127" s="647"/>
      <c r="D127" s="648"/>
    </row>
    <row r="128" spans="1:4" x14ac:dyDescent="0.35">
      <c r="A128" s="663" t="s">
        <v>64</v>
      </c>
      <c r="B128" s="664"/>
      <c r="C128" s="664"/>
      <c r="D128" s="665"/>
    </row>
    <row r="129" spans="1:4" outlineLevel="1" x14ac:dyDescent="0.35">
      <c r="A129" s="658"/>
      <c r="B129" s="659"/>
      <c r="C129" s="659"/>
      <c r="D129" s="660"/>
    </row>
    <row r="130" spans="1:4" outlineLevel="1" x14ac:dyDescent="0.35">
      <c r="A130" s="110" t="s">
        <v>65</v>
      </c>
      <c r="B130" s="117" t="s">
        <v>214</v>
      </c>
      <c r="C130" s="30" t="s">
        <v>44</v>
      </c>
      <c r="D130" s="110" t="s">
        <v>35</v>
      </c>
    </row>
    <row r="131" spans="1:4" outlineLevel="2" x14ac:dyDescent="0.35">
      <c r="A131" s="137" t="s">
        <v>36</v>
      </c>
      <c r="B131" s="89" t="s">
        <v>66</v>
      </c>
      <c r="C131" s="50">
        <f>IF(C12&gt;60,5/C12,IF(C12&gt;48,4/C12,IF(C12&gt;36,3/C12,IF(C12&gt;24,2/C12,IF(C12&gt;12,1/C12,0)))))</f>
        <v>0.05</v>
      </c>
      <c r="D131" s="133">
        <f>SUM(D132:D136)</f>
        <v>94.2</v>
      </c>
    </row>
    <row r="132" spans="1:4" hidden="1" outlineLevel="3" x14ac:dyDescent="0.35">
      <c r="A132" s="138" t="s">
        <v>215</v>
      </c>
      <c r="B132" s="90" t="s">
        <v>216</v>
      </c>
      <c r="C132" s="139">
        <f>D39</f>
        <v>1457.5</v>
      </c>
      <c r="D132" s="140">
        <f>$C$131*(D39)-($C$131*(D39)*C137/3)</f>
        <v>72.88</v>
      </c>
    </row>
    <row r="133" spans="1:4" hidden="1" outlineLevel="3" x14ac:dyDescent="0.35">
      <c r="A133" s="138" t="s">
        <v>217</v>
      </c>
      <c r="B133" s="90" t="s">
        <v>218</v>
      </c>
      <c r="C133" s="139">
        <f>(D50)</f>
        <v>121.41</v>
      </c>
      <c r="D133" s="140">
        <f>$C$131*C133-($C$131*C133*C137/3)</f>
        <v>6.07</v>
      </c>
    </row>
    <row r="134" spans="1:4" hidden="1" outlineLevel="3" x14ac:dyDescent="0.35">
      <c r="A134" s="138" t="s">
        <v>219</v>
      </c>
      <c r="B134" s="90" t="s">
        <v>220</v>
      </c>
      <c r="C134" s="141">
        <f>(D39/12)+(D51*IF(C12&gt;60,((C12-60)*(1/60))+1,IF(C12&gt;48,((C12-48)*(1/48))+1,IF(C12&gt;36,((C12-36)*(1/36))+1,IF(C12&gt;24,((C12-24)*(1/24))+1,IF(C12&gt;12,((C12-12)*(1/12))+1,1))))))</f>
        <v>162.03</v>
      </c>
      <c r="D134" s="140">
        <f>$C$131*C134-($C$131*C134*C137/3)</f>
        <v>8.1</v>
      </c>
    </row>
    <row r="135" spans="1:4" hidden="1" outlineLevel="3" x14ac:dyDescent="0.35">
      <c r="A135" s="138" t="s">
        <v>221</v>
      </c>
      <c r="B135" s="90" t="s">
        <v>222</v>
      </c>
      <c r="C135" s="91">
        <f>C63</f>
        <v>0.36799999999999999</v>
      </c>
      <c r="D135" s="140">
        <f>SUM(D132:D134)*C131</f>
        <v>4.3499999999999996</v>
      </c>
    </row>
    <row r="136" spans="1:4" hidden="1" outlineLevel="3" x14ac:dyDescent="0.35">
      <c r="A136" s="138" t="s">
        <v>223</v>
      </c>
      <c r="B136" s="90" t="s">
        <v>224</v>
      </c>
      <c r="C136" s="141">
        <f>D124</f>
        <v>56.07</v>
      </c>
      <c r="D136" s="140">
        <f>C136*C131</f>
        <v>2.8</v>
      </c>
    </row>
    <row r="137" spans="1:4" outlineLevel="2" collapsed="1" x14ac:dyDescent="0.35">
      <c r="A137" s="111" t="s">
        <v>16</v>
      </c>
      <c r="B137" s="31" t="s">
        <v>225</v>
      </c>
      <c r="C137" s="92">
        <v>0</v>
      </c>
      <c r="D137" s="124">
        <f>$C$131*(D39)*(C137/3)</f>
        <v>0</v>
      </c>
    </row>
    <row r="138" spans="1:4" outlineLevel="1" x14ac:dyDescent="0.35">
      <c r="A138" s="644" t="s">
        <v>226</v>
      </c>
      <c r="B138" s="645"/>
      <c r="C138" s="30">
        <f>C131+(D137/D39)</f>
        <v>0.05</v>
      </c>
      <c r="D138" s="116">
        <f>SUM(D131:D137)</f>
        <v>188.4</v>
      </c>
    </row>
    <row r="139" spans="1:4" outlineLevel="1" x14ac:dyDescent="0.35">
      <c r="A139" s="658"/>
      <c r="B139" s="659"/>
      <c r="C139" s="659"/>
      <c r="D139" s="660"/>
    </row>
    <row r="140" spans="1:4" outlineLevel="2" x14ac:dyDescent="0.35">
      <c r="A140" s="668" t="s">
        <v>227</v>
      </c>
      <c r="B140" s="142" t="s">
        <v>190</v>
      </c>
      <c r="C140" s="93">
        <v>220</v>
      </c>
      <c r="D140" s="143">
        <f>D39</f>
        <v>1457.5</v>
      </c>
    </row>
    <row r="141" spans="1:4" outlineLevel="2" x14ac:dyDescent="0.35">
      <c r="A141" s="669"/>
      <c r="B141" s="142" t="s">
        <v>228</v>
      </c>
      <c r="C141" s="50">
        <f>(1+(1/3)+1)/12</f>
        <v>0.19439999999999999</v>
      </c>
      <c r="D141" s="144">
        <f>D140*C141</f>
        <v>283.33999999999997</v>
      </c>
    </row>
    <row r="142" spans="1:4" outlineLevel="2" x14ac:dyDescent="0.35">
      <c r="A142" s="669"/>
      <c r="B142" s="142" t="s">
        <v>229</v>
      </c>
      <c r="C142" s="50">
        <f>C63</f>
        <v>0.36799999999999999</v>
      </c>
      <c r="D142" s="144">
        <f>(D140+D141)*C142</f>
        <v>640.63</v>
      </c>
    </row>
    <row r="143" spans="1:4" outlineLevel="2" x14ac:dyDescent="0.35">
      <c r="A143" s="669"/>
      <c r="B143" s="142" t="s">
        <v>230</v>
      </c>
      <c r="C143" s="50">
        <f>D143/D140</f>
        <v>0.35339999999999999</v>
      </c>
      <c r="D143" s="144">
        <f>D77</f>
        <v>515.04</v>
      </c>
    </row>
    <row r="144" spans="1:4" outlineLevel="2" x14ac:dyDescent="0.35">
      <c r="A144" s="670"/>
      <c r="B144" s="145" t="s">
        <v>231</v>
      </c>
      <c r="C144" s="50">
        <f>D144/D140</f>
        <v>3.85E-2</v>
      </c>
      <c r="D144" s="144">
        <f>D124</f>
        <v>56.07</v>
      </c>
    </row>
    <row r="145" spans="1:4" outlineLevel="2" x14ac:dyDescent="0.35">
      <c r="A145" s="671" t="s">
        <v>232</v>
      </c>
      <c r="B145" s="672"/>
      <c r="C145" s="94">
        <f>D145/D140</f>
        <v>2.0257999999999998</v>
      </c>
      <c r="D145" s="146">
        <f>SUM(D140:D144)</f>
        <v>2952.58</v>
      </c>
    </row>
    <row r="146" spans="1:4" outlineLevel="2" x14ac:dyDescent="0.35">
      <c r="A146" s="673"/>
      <c r="B146" s="673"/>
      <c r="C146" s="673"/>
      <c r="D146" s="674"/>
    </row>
    <row r="147" spans="1:4" outlineLevel="1" x14ac:dyDescent="0.35">
      <c r="A147" s="110" t="s">
        <v>233</v>
      </c>
      <c r="B147" s="117" t="s">
        <v>234</v>
      </c>
      <c r="C147" s="30" t="s">
        <v>44</v>
      </c>
      <c r="D147" s="110" t="s">
        <v>35</v>
      </c>
    </row>
    <row r="148" spans="1:4" outlineLevel="2" x14ac:dyDescent="0.35">
      <c r="A148" s="111" t="s">
        <v>16</v>
      </c>
      <c r="B148" s="31" t="s">
        <v>118</v>
      </c>
      <c r="C148" s="77">
        <f>5/252</f>
        <v>1.9800000000000002E-2</v>
      </c>
      <c r="D148" s="133">
        <f>C148*$D$145</f>
        <v>58.46</v>
      </c>
    </row>
    <row r="149" spans="1:4" outlineLevel="2" x14ac:dyDescent="0.35">
      <c r="A149" s="111" t="s">
        <v>17</v>
      </c>
      <c r="B149" s="31" t="s">
        <v>119</v>
      </c>
      <c r="C149" s="77">
        <f>1.383/252</f>
        <v>5.4999999999999997E-3</v>
      </c>
      <c r="D149" s="133">
        <f>C149*$D$145</f>
        <v>16.239999999999998</v>
      </c>
    </row>
    <row r="150" spans="1:4" outlineLevel="2" x14ac:dyDescent="0.35">
      <c r="A150" s="111" t="s">
        <v>19</v>
      </c>
      <c r="B150" s="31" t="s">
        <v>117</v>
      </c>
      <c r="C150" s="77">
        <f>1.3892/252</f>
        <v>5.4999999999999997E-3</v>
      </c>
      <c r="D150" s="133">
        <f t="shared" ref="D150:D153" si="1">C150*$D$145</f>
        <v>16.239999999999998</v>
      </c>
    </row>
    <row r="151" spans="1:4" outlineLevel="2" x14ac:dyDescent="0.35">
      <c r="A151" s="111" t="s">
        <v>22</v>
      </c>
      <c r="B151" s="31" t="s">
        <v>67</v>
      </c>
      <c r="C151" s="77">
        <f>0.65/252</f>
        <v>2.5999999999999999E-3</v>
      </c>
      <c r="D151" s="133">
        <f t="shared" si="1"/>
        <v>7.68</v>
      </c>
    </row>
    <row r="152" spans="1:4" outlineLevel="2" x14ac:dyDescent="0.35">
      <c r="A152" s="111" t="s">
        <v>24</v>
      </c>
      <c r="B152" s="31" t="s">
        <v>68</v>
      </c>
      <c r="C152" s="77">
        <f>0.5052/252</f>
        <v>2E-3</v>
      </c>
      <c r="D152" s="133">
        <f t="shared" si="1"/>
        <v>5.91</v>
      </c>
    </row>
    <row r="153" spans="1:4" outlineLevel="2" x14ac:dyDescent="0.35">
      <c r="A153" s="111" t="s">
        <v>36</v>
      </c>
      <c r="B153" s="61" t="s">
        <v>235</v>
      </c>
      <c r="C153" s="69">
        <f>0.2/252</f>
        <v>8.0000000000000004E-4</v>
      </c>
      <c r="D153" s="133">
        <f t="shared" si="1"/>
        <v>2.36</v>
      </c>
    </row>
    <row r="154" spans="1:4" outlineLevel="1" x14ac:dyDescent="0.35">
      <c r="A154" s="644" t="s">
        <v>226</v>
      </c>
      <c r="B154" s="645"/>
      <c r="C154" s="30">
        <f>SUM(C148:C153)</f>
        <v>3.6200000000000003E-2</v>
      </c>
      <c r="D154" s="116">
        <f>SUM(D148:D153)</f>
        <v>106.89</v>
      </c>
    </row>
    <row r="155" spans="1:4" outlineLevel="1" x14ac:dyDescent="0.35">
      <c r="A155" s="658"/>
      <c r="B155" s="659"/>
      <c r="C155" s="659"/>
      <c r="D155" s="660"/>
    </row>
    <row r="156" spans="1:4" outlineLevel="1" x14ac:dyDescent="0.35">
      <c r="A156" s="661" t="s">
        <v>236</v>
      </c>
      <c r="B156" s="666"/>
      <c r="C156" s="30" t="s">
        <v>237</v>
      </c>
      <c r="D156" s="110" t="s">
        <v>35</v>
      </c>
    </row>
    <row r="157" spans="1:4" outlineLevel="2" x14ac:dyDescent="0.4">
      <c r="A157" s="667" t="s">
        <v>238</v>
      </c>
      <c r="B157" s="142" t="s">
        <v>239</v>
      </c>
      <c r="C157" s="95">
        <f>C153</f>
        <v>8.0000000000000004E-4</v>
      </c>
      <c r="D157" s="147">
        <f>C157*-D140</f>
        <v>-1.17</v>
      </c>
    </row>
    <row r="158" spans="1:4" outlineLevel="2" x14ac:dyDescent="0.4">
      <c r="A158" s="667"/>
      <c r="B158" s="148" t="s">
        <v>240</v>
      </c>
      <c r="C158" s="96">
        <v>0</v>
      </c>
      <c r="D158" s="149">
        <f>C158*-(D140/220/24*5)</f>
        <v>0</v>
      </c>
    </row>
    <row r="159" spans="1:4" outlineLevel="2" x14ac:dyDescent="0.4">
      <c r="A159" s="667"/>
      <c r="B159" s="148" t="s">
        <v>241</v>
      </c>
      <c r="C159" s="96">
        <v>0</v>
      </c>
      <c r="D159" s="149">
        <f>C159*-D141</f>
        <v>0</v>
      </c>
    </row>
    <row r="160" spans="1:4" outlineLevel="2" x14ac:dyDescent="0.4">
      <c r="A160" s="667"/>
      <c r="B160" s="142" t="s">
        <v>242</v>
      </c>
      <c r="C160" s="95">
        <f>C154</f>
        <v>3.6200000000000003E-2</v>
      </c>
      <c r="D160" s="147">
        <f>C160*-D66</f>
        <v>-3.49</v>
      </c>
    </row>
    <row r="161" spans="1:4" outlineLevel="2" x14ac:dyDescent="0.4">
      <c r="A161" s="667"/>
      <c r="B161" s="142" t="s">
        <v>243</v>
      </c>
      <c r="C161" s="95">
        <f>C154</f>
        <v>3.6200000000000003E-2</v>
      </c>
      <c r="D161" s="147">
        <f>C161*-D69</f>
        <v>-10.5</v>
      </c>
    </row>
    <row r="162" spans="1:4" outlineLevel="2" x14ac:dyDescent="0.4">
      <c r="A162" s="667"/>
      <c r="B162" s="145" t="s">
        <v>244</v>
      </c>
      <c r="C162" s="95">
        <f>C153</f>
        <v>8.0000000000000004E-4</v>
      </c>
      <c r="D162" s="147">
        <f>C162*-D74</f>
        <v>-0.02</v>
      </c>
    </row>
    <row r="163" spans="1:4" outlineLevel="2" x14ac:dyDescent="0.35">
      <c r="A163" s="667"/>
      <c r="B163" s="145" t="s">
        <v>245</v>
      </c>
      <c r="C163" s="97">
        <f>C152</f>
        <v>2E-3</v>
      </c>
      <c r="D163" s="133">
        <f>C163*-SUM(D55:D61)</f>
        <v>-0.92</v>
      </c>
    </row>
    <row r="164" spans="1:4" outlineLevel="2" x14ac:dyDescent="0.4">
      <c r="A164" s="667"/>
      <c r="B164" s="142" t="s">
        <v>246</v>
      </c>
      <c r="C164" s="95">
        <f>C153</f>
        <v>8.0000000000000004E-4</v>
      </c>
      <c r="D164" s="147">
        <f>C164*-D142</f>
        <v>-0.51</v>
      </c>
    </row>
    <row r="165" spans="1:4" outlineLevel="1" x14ac:dyDescent="0.35">
      <c r="A165" s="644" t="s">
        <v>247</v>
      </c>
      <c r="B165" s="645"/>
      <c r="C165" s="30">
        <f>D165/D140</f>
        <v>-1.14E-2</v>
      </c>
      <c r="D165" s="116">
        <f>SUM(D157:D164)</f>
        <v>-16.61</v>
      </c>
    </row>
    <row r="166" spans="1:4" outlineLevel="1" x14ac:dyDescent="0.35">
      <c r="A166" s="658"/>
      <c r="B166" s="659"/>
      <c r="C166" s="659"/>
      <c r="D166" s="660"/>
    </row>
    <row r="167" spans="1:4" outlineLevel="1" x14ac:dyDescent="0.35">
      <c r="A167" s="644" t="s">
        <v>248</v>
      </c>
      <c r="B167" s="645"/>
      <c r="C167" s="30">
        <f>D167/D140</f>
        <v>6.1899999999999997E-2</v>
      </c>
      <c r="D167" s="116">
        <f>D154+D165</f>
        <v>90.28</v>
      </c>
    </row>
    <row r="168" spans="1:4" outlineLevel="1" x14ac:dyDescent="0.35">
      <c r="A168" s="658"/>
      <c r="B168" s="659"/>
      <c r="C168" s="659"/>
      <c r="D168" s="660"/>
    </row>
    <row r="169" spans="1:4" outlineLevel="1" x14ac:dyDescent="0.35">
      <c r="A169" s="661" t="s">
        <v>249</v>
      </c>
      <c r="B169" s="662"/>
      <c r="C169" s="110" t="s">
        <v>44</v>
      </c>
      <c r="D169" s="110" t="s">
        <v>35</v>
      </c>
    </row>
    <row r="170" spans="1:4" outlineLevel="1" x14ac:dyDescent="0.35">
      <c r="A170" s="111" t="s">
        <v>65</v>
      </c>
      <c r="B170" s="31" t="s">
        <v>214</v>
      </c>
      <c r="C170" s="34"/>
      <c r="D170" s="150">
        <f>D138</f>
        <v>188.4</v>
      </c>
    </row>
    <row r="171" spans="1:4" outlineLevel="1" x14ac:dyDescent="0.35">
      <c r="A171" s="111" t="s">
        <v>233</v>
      </c>
      <c r="B171" s="31" t="s">
        <v>234</v>
      </c>
      <c r="C171" s="34"/>
      <c r="D171" s="150">
        <f>D167</f>
        <v>90.28</v>
      </c>
    </row>
    <row r="172" spans="1:4" x14ac:dyDescent="0.35">
      <c r="A172" s="644" t="s">
        <v>11</v>
      </c>
      <c r="B172" s="657"/>
      <c r="C172" s="645"/>
      <c r="D172" s="119">
        <f>SUM(D170:D171)</f>
        <v>278.68</v>
      </c>
    </row>
    <row r="173" spans="1:4" x14ac:dyDescent="0.35">
      <c r="A173" s="658"/>
      <c r="B173" s="659"/>
      <c r="C173" s="659"/>
      <c r="D173" s="660"/>
    </row>
    <row r="174" spans="1:4" x14ac:dyDescent="0.35">
      <c r="A174" s="663" t="s">
        <v>69</v>
      </c>
      <c r="B174" s="664"/>
      <c r="C174" s="664"/>
      <c r="D174" s="665"/>
    </row>
    <row r="175" spans="1:4" outlineLevel="1" x14ac:dyDescent="0.35">
      <c r="A175" s="658"/>
      <c r="B175" s="659"/>
      <c r="C175" s="659"/>
      <c r="D175" s="660"/>
    </row>
    <row r="176" spans="1:4" outlineLevel="1" x14ac:dyDescent="0.35">
      <c r="A176" s="64">
        <v>5</v>
      </c>
      <c r="B176" s="644" t="s">
        <v>250</v>
      </c>
      <c r="C176" s="645"/>
      <c r="D176" s="110" t="s">
        <v>35</v>
      </c>
    </row>
    <row r="177" spans="1:4" outlineLevel="1" x14ac:dyDescent="0.35">
      <c r="A177" s="111" t="s">
        <v>36</v>
      </c>
      <c r="B177" s="655" t="s">
        <v>343</v>
      </c>
      <c r="C177" s="656"/>
      <c r="D177" s="133">
        <f>INSUMOS!H12</f>
        <v>25.07</v>
      </c>
    </row>
    <row r="178" spans="1:4" outlineLevel="1" x14ac:dyDescent="0.35">
      <c r="A178" s="111" t="s">
        <v>16</v>
      </c>
      <c r="B178" s="655" t="s">
        <v>369</v>
      </c>
      <c r="C178" s="656"/>
      <c r="D178" s="151">
        <f>INSUMOS!H32</f>
        <v>41.35</v>
      </c>
    </row>
    <row r="179" spans="1:4" outlineLevel="1" x14ac:dyDescent="0.35">
      <c r="A179" s="111" t="s">
        <v>17</v>
      </c>
      <c r="B179" s="640" t="s">
        <v>326</v>
      </c>
      <c r="C179" s="642"/>
      <c r="D179" s="151">
        <f>MATERIAIS!I125</f>
        <v>423.82</v>
      </c>
    </row>
    <row r="180" spans="1:4" outlineLevel="1" x14ac:dyDescent="0.35">
      <c r="A180" s="111" t="s">
        <v>19</v>
      </c>
      <c r="B180" s="640" t="s">
        <v>325</v>
      </c>
      <c r="C180" s="642"/>
      <c r="D180" s="151">
        <f>EQUIPAMENTOS!J134</f>
        <v>12.24</v>
      </c>
    </row>
    <row r="181" spans="1:4" outlineLevel="1" x14ac:dyDescent="0.35">
      <c r="A181" s="111" t="s">
        <v>22</v>
      </c>
      <c r="B181" s="705" t="s">
        <v>39</v>
      </c>
      <c r="C181" s="706"/>
      <c r="D181" s="130">
        <v>0</v>
      </c>
    </row>
    <row r="182" spans="1:4" outlineLevel="1" x14ac:dyDescent="0.35">
      <c r="A182" s="111" t="s">
        <v>24</v>
      </c>
      <c r="B182" s="705" t="s">
        <v>39</v>
      </c>
      <c r="C182" s="706"/>
      <c r="D182" s="130">
        <v>0</v>
      </c>
    </row>
    <row r="183" spans="1:4" x14ac:dyDescent="0.35">
      <c r="A183" s="644" t="s">
        <v>11</v>
      </c>
      <c r="B183" s="657"/>
      <c r="C183" s="645"/>
      <c r="D183" s="116">
        <f>SUM(D177:D181)</f>
        <v>502.48</v>
      </c>
    </row>
    <row r="184" spans="1:4" x14ac:dyDescent="0.35">
      <c r="A184" s="646"/>
      <c r="B184" s="647"/>
      <c r="C184" s="647"/>
      <c r="D184" s="648"/>
    </row>
    <row r="185" spans="1:4" x14ac:dyDescent="0.35">
      <c r="A185" s="649" t="s">
        <v>70</v>
      </c>
      <c r="B185" s="649"/>
      <c r="C185" s="649"/>
      <c r="D185" s="152">
        <f>D39+D83+D126+D172+D183</f>
        <v>3610.23</v>
      </c>
    </row>
    <row r="186" spans="1:4" x14ac:dyDescent="0.35">
      <c r="A186" s="650"/>
      <c r="B186" s="650"/>
      <c r="C186" s="650"/>
      <c r="D186" s="650"/>
    </row>
    <row r="187" spans="1:4" x14ac:dyDescent="0.35">
      <c r="A187" s="651" t="s">
        <v>71</v>
      </c>
      <c r="B187" s="651"/>
      <c r="C187" s="651"/>
      <c r="D187" s="651"/>
    </row>
    <row r="188" spans="1:4" outlineLevel="1" x14ac:dyDescent="0.35">
      <c r="A188" s="652"/>
      <c r="B188" s="653"/>
      <c r="C188" s="653"/>
      <c r="D188" s="654"/>
    </row>
    <row r="189" spans="1:4" outlineLevel="1" x14ac:dyDescent="0.35">
      <c r="A189" s="64">
        <v>6</v>
      </c>
      <c r="B189" s="117" t="s">
        <v>72</v>
      </c>
      <c r="C189" s="110" t="s">
        <v>44</v>
      </c>
      <c r="D189" s="110" t="s">
        <v>35</v>
      </c>
    </row>
    <row r="190" spans="1:4" outlineLevel="1" x14ac:dyDescent="0.35">
      <c r="A190" s="111" t="s">
        <v>36</v>
      </c>
      <c r="B190" s="31" t="s">
        <v>73</v>
      </c>
      <c r="C190" s="70">
        <f>'SR - ASG int'!C189</f>
        <v>2.6499999999999999E-2</v>
      </c>
      <c r="D190" s="105">
        <f>C190*D185</f>
        <v>95.67</v>
      </c>
    </row>
    <row r="191" spans="1:4" outlineLevel="1" x14ac:dyDescent="0.35">
      <c r="A191" s="638" t="s">
        <v>1</v>
      </c>
      <c r="B191" s="639"/>
      <c r="C191" s="643"/>
      <c r="D191" s="105">
        <f>D185+D190</f>
        <v>3705.9</v>
      </c>
    </row>
    <row r="192" spans="1:4" outlineLevel="1" x14ac:dyDescent="0.35">
      <c r="A192" s="111" t="s">
        <v>16</v>
      </c>
      <c r="B192" s="31" t="s">
        <v>74</v>
      </c>
      <c r="C192" s="70">
        <f>'SR - ASG int'!C191</f>
        <v>0.1087</v>
      </c>
      <c r="D192" s="105">
        <f>C192*D191</f>
        <v>402.83</v>
      </c>
    </row>
    <row r="193" spans="1:4" outlineLevel="1" x14ac:dyDescent="0.35">
      <c r="A193" s="638" t="s">
        <v>1</v>
      </c>
      <c r="B193" s="639"/>
      <c r="C193" s="639"/>
      <c r="D193" s="105">
        <f>D192+D191</f>
        <v>4108.7299999999996</v>
      </c>
    </row>
    <row r="194" spans="1:4" outlineLevel="1" x14ac:dyDescent="0.35">
      <c r="A194" s="111" t="s">
        <v>17</v>
      </c>
      <c r="B194" s="640" t="s">
        <v>75</v>
      </c>
      <c r="C194" s="641"/>
      <c r="D194" s="642"/>
    </row>
    <row r="195" spans="1:4" outlineLevel="1" x14ac:dyDescent="0.35">
      <c r="A195" s="153"/>
      <c r="B195" s="63" t="s">
        <v>76</v>
      </c>
      <c r="C195" s="70">
        <v>6.4999999999999997E-3</v>
      </c>
      <c r="D195" s="105">
        <f>(D193/(1-C198)*C195)</f>
        <v>28.61</v>
      </c>
    </row>
    <row r="196" spans="1:4" outlineLevel="1" x14ac:dyDescent="0.35">
      <c r="A196" s="153"/>
      <c r="B196" s="63" t="s">
        <v>77</v>
      </c>
      <c r="C196" s="70">
        <v>0.03</v>
      </c>
      <c r="D196" s="105">
        <f>(D193/(1-C198)*C196)</f>
        <v>132.04</v>
      </c>
    </row>
    <row r="197" spans="1:4" outlineLevel="1" x14ac:dyDescent="0.35">
      <c r="A197" s="153"/>
      <c r="B197" s="63" t="s">
        <v>296</v>
      </c>
      <c r="C197" s="51">
        <v>0.03</v>
      </c>
      <c r="D197" s="105">
        <f>(D193/(1-C198)*C197)</f>
        <v>132.04</v>
      </c>
    </row>
    <row r="198" spans="1:4" outlineLevel="1" x14ac:dyDescent="0.35">
      <c r="A198" s="638" t="s">
        <v>78</v>
      </c>
      <c r="B198" s="643"/>
      <c r="C198" s="52">
        <f>SUM(C195:C197)</f>
        <v>6.6500000000000004E-2</v>
      </c>
      <c r="D198" s="105">
        <f>SUM(D195:D197)</f>
        <v>292.69</v>
      </c>
    </row>
    <row r="199" spans="1:4" x14ac:dyDescent="0.35">
      <c r="A199" s="644" t="s">
        <v>11</v>
      </c>
      <c r="B199" s="645"/>
      <c r="C199" s="53">
        <f>(1+C190)*(1+C192)*(1/(1-C198))-1</f>
        <v>0.21920000000000001</v>
      </c>
      <c r="D199" s="108">
        <f>SUM(D198+D190+D192)</f>
        <v>791.19</v>
      </c>
    </row>
    <row r="200" spans="1:4" x14ac:dyDescent="0.35">
      <c r="A200" s="646"/>
      <c r="B200" s="647"/>
      <c r="C200" s="647"/>
      <c r="D200" s="648"/>
    </row>
    <row r="201" spans="1:4" x14ac:dyDescent="0.35">
      <c r="A201" s="634" t="s">
        <v>79</v>
      </c>
      <c r="B201" s="635"/>
      <c r="C201" s="636"/>
      <c r="D201" s="54" t="s">
        <v>35</v>
      </c>
    </row>
    <row r="202" spans="1:4" x14ac:dyDescent="0.35">
      <c r="A202" s="632" t="s">
        <v>80</v>
      </c>
      <c r="B202" s="637"/>
      <c r="C202" s="637"/>
      <c r="D202" s="633"/>
    </row>
    <row r="203" spans="1:4" x14ac:dyDescent="0.35">
      <c r="A203" s="65" t="s">
        <v>36</v>
      </c>
      <c r="B203" s="632" t="s">
        <v>81</v>
      </c>
      <c r="C203" s="633"/>
      <c r="D203" s="104">
        <f>D39</f>
        <v>1457.5</v>
      </c>
    </row>
    <row r="204" spans="1:4" x14ac:dyDescent="0.35">
      <c r="A204" s="65" t="s">
        <v>16</v>
      </c>
      <c r="B204" s="632" t="s">
        <v>82</v>
      </c>
      <c r="C204" s="633"/>
      <c r="D204" s="104">
        <f>D83</f>
        <v>1250.79</v>
      </c>
    </row>
    <row r="205" spans="1:4" x14ac:dyDescent="0.35">
      <c r="A205" s="65" t="s">
        <v>17</v>
      </c>
      <c r="B205" s="632" t="s">
        <v>83</v>
      </c>
      <c r="C205" s="633"/>
      <c r="D205" s="104">
        <f>D126</f>
        <v>120.78</v>
      </c>
    </row>
    <row r="206" spans="1:4" x14ac:dyDescent="0.35">
      <c r="A206" s="65" t="s">
        <v>19</v>
      </c>
      <c r="B206" s="632" t="s">
        <v>84</v>
      </c>
      <c r="C206" s="633"/>
      <c r="D206" s="104">
        <f>D172</f>
        <v>278.68</v>
      </c>
    </row>
    <row r="207" spans="1:4" x14ac:dyDescent="0.35">
      <c r="A207" s="65" t="s">
        <v>22</v>
      </c>
      <c r="B207" s="632" t="s">
        <v>85</v>
      </c>
      <c r="C207" s="633"/>
      <c r="D207" s="104">
        <f>D183</f>
        <v>502.48</v>
      </c>
    </row>
    <row r="208" spans="1:4" x14ac:dyDescent="0.4">
      <c r="A208" s="629" t="s">
        <v>86</v>
      </c>
      <c r="B208" s="630"/>
      <c r="C208" s="631"/>
      <c r="D208" s="104">
        <f>SUM(D203:D207)</f>
        <v>3610.23</v>
      </c>
    </row>
    <row r="209" spans="1:4" x14ac:dyDescent="0.35">
      <c r="A209" s="65" t="s">
        <v>87</v>
      </c>
      <c r="B209" s="632" t="s">
        <v>88</v>
      </c>
      <c r="C209" s="633"/>
      <c r="D209" s="104">
        <f>D199</f>
        <v>791.19</v>
      </c>
    </row>
    <row r="210" spans="1:4" x14ac:dyDescent="0.35">
      <c r="A210" s="634" t="s">
        <v>89</v>
      </c>
      <c r="B210" s="635"/>
      <c r="C210" s="636"/>
      <c r="D210" s="154">
        <f xml:space="preserve"> D208+D209</f>
        <v>4401.42</v>
      </c>
    </row>
    <row r="211" spans="1:4" x14ac:dyDescent="0.4">
      <c r="A211" s="24"/>
      <c r="B211" s="24"/>
      <c r="C211" s="24"/>
      <c r="D211" s="24"/>
    </row>
    <row r="212" spans="1:4" thickBot="1" x14ac:dyDescent="0.4">
      <c r="A212" s="17"/>
      <c r="B212" s="17"/>
      <c r="C212" s="17"/>
      <c r="D212" s="17"/>
    </row>
    <row r="213" spans="1:4" x14ac:dyDescent="0.35">
      <c r="A213" s="702" t="s">
        <v>274</v>
      </c>
      <c r="B213" s="703"/>
      <c r="C213" s="703"/>
      <c r="D213" s="704"/>
    </row>
    <row r="214" spans="1:4" ht="30" x14ac:dyDescent="0.35">
      <c r="A214" s="170" t="s">
        <v>275</v>
      </c>
      <c r="B214" s="171" t="s">
        <v>278</v>
      </c>
      <c r="C214" s="172" t="s">
        <v>276</v>
      </c>
      <c r="D214" s="173" t="s">
        <v>277</v>
      </c>
    </row>
    <row r="215" spans="1:4" ht="15.5" thickBot="1" x14ac:dyDescent="0.4">
      <c r="A215" s="174">
        <v>1</v>
      </c>
      <c r="B215" s="178">
        <f>1/(C11/A215)</f>
        <v>1.7823246859999999E-4</v>
      </c>
      <c r="C215" s="175">
        <f>D210</f>
        <v>4401.42</v>
      </c>
      <c r="D215" s="181">
        <f>C215*B215</f>
        <v>0.78447595199999998</v>
      </c>
    </row>
  </sheetData>
  <mergeCells count="108">
    <mergeCell ref="A213:D213"/>
    <mergeCell ref="B180:C180"/>
    <mergeCell ref="B181:C181"/>
    <mergeCell ref="A5:D5"/>
    <mergeCell ref="C6:D6"/>
    <mergeCell ref="C7:D7"/>
    <mergeCell ref="C8:D8"/>
    <mergeCell ref="C9:D9"/>
    <mergeCell ref="C10:D10"/>
    <mergeCell ref="B20:C20"/>
    <mergeCell ref="B21:C21"/>
    <mergeCell ref="B22:C22"/>
    <mergeCell ref="A45:B45"/>
    <mergeCell ref="A46:D46"/>
    <mergeCell ref="A47:D47"/>
    <mergeCell ref="A48:D48"/>
    <mergeCell ref="A52:B52"/>
    <mergeCell ref="A53:D53"/>
    <mergeCell ref="A23:D23"/>
    <mergeCell ref="A24:D24"/>
    <mergeCell ref="A25:D25"/>
    <mergeCell ref="B26:C26"/>
    <mergeCell ref="A39:C39"/>
    <mergeCell ref="A40:D40"/>
    <mergeCell ref="A1:D1"/>
    <mergeCell ref="A2:B2"/>
    <mergeCell ref="C2:D2"/>
    <mergeCell ref="A3:B3"/>
    <mergeCell ref="C3:D3"/>
    <mergeCell ref="A4:D4"/>
    <mergeCell ref="C17:D17"/>
    <mergeCell ref="A18:D18"/>
    <mergeCell ref="B19:C19"/>
    <mergeCell ref="C11:D11"/>
    <mergeCell ref="C12:D12"/>
    <mergeCell ref="A13:D13"/>
    <mergeCell ref="A14:D14"/>
    <mergeCell ref="A15:D15"/>
    <mergeCell ref="C16:D16"/>
    <mergeCell ref="A84:D84"/>
    <mergeCell ref="A85:D85"/>
    <mergeCell ref="A86:D86"/>
    <mergeCell ref="A99:B99"/>
    <mergeCell ref="A100:D100"/>
    <mergeCell ref="A111:B111"/>
    <mergeCell ref="A63:B63"/>
    <mergeCell ref="A64:D64"/>
    <mergeCell ref="A77:C77"/>
    <mergeCell ref="A78:D78"/>
    <mergeCell ref="A79:B79"/>
    <mergeCell ref="A83:C83"/>
    <mergeCell ref="A123:B123"/>
    <mergeCell ref="A124:B124"/>
    <mergeCell ref="A126:B126"/>
    <mergeCell ref="A127:D127"/>
    <mergeCell ref="A128:D128"/>
    <mergeCell ref="A129:D129"/>
    <mergeCell ref="A112:D112"/>
    <mergeCell ref="A116:B116"/>
    <mergeCell ref="A117:D117"/>
    <mergeCell ref="A118:B118"/>
    <mergeCell ref="A121:C121"/>
    <mergeCell ref="A122:B122"/>
    <mergeCell ref="A155:D155"/>
    <mergeCell ref="A156:B156"/>
    <mergeCell ref="A157:A164"/>
    <mergeCell ref="A165:B165"/>
    <mergeCell ref="A166:D166"/>
    <mergeCell ref="A167:B167"/>
    <mergeCell ref="A138:B138"/>
    <mergeCell ref="A139:D139"/>
    <mergeCell ref="A140:A144"/>
    <mergeCell ref="A145:B145"/>
    <mergeCell ref="A146:D146"/>
    <mergeCell ref="A154:B154"/>
    <mergeCell ref="B176:C176"/>
    <mergeCell ref="B177:C177"/>
    <mergeCell ref="B178:C178"/>
    <mergeCell ref="B179:C179"/>
    <mergeCell ref="B182:C182"/>
    <mergeCell ref="A183:C183"/>
    <mergeCell ref="A168:D168"/>
    <mergeCell ref="A169:B169"/>
    <mergeCell ref="A172:C172"/>
    <mergeCell ref="A173:D173"/>
    <mergeCell ref="A174:D174"/>
    <mergeCell ref="A175:D175"/>
    <mergeCell ref="A193:C193"/>
    <mergeCell ref="B194:D194"/>
    <mergeCell ref="A198:B198"/>
    <mergeCell ref="A199:B199"/>
    <mergeCell ref="A200:D200"/>
    <mergeCell ref="A201:C201"/>
    <mergeCell ref="A184:D184"/>
    <mergeCell ref="A185:C185"/>
    <mergeCell ref="A186:D186"/>
    <mergeCell ref="A187:D187"/>
    <mergeCell ref="A188:D188"/>
    <mergeCell ref="A191:C191"/>
    <mergeCell ref="A208:C208"/>
    <mergeCell ref="B209:C209"/>
    <mergeCell ref="A210:C210"/>
    <mergeCell ref="A202:D202"/>
    <mergeCell ref="B203:C203"/>
    <mergeCell ref="B204:C204"/>
    <mergeCell ref="B205:C205"/>
    <mergeCell ref="B206:C206"/>
    <mergeCell ref="B207:C207"/>
  </mergeCells>
  <pageMargins left="0.51181102362204722" right="0.51181102362204722" top="0.78740157480314965" bottom="0.78740157480314965" header="0.31496062992125984" footer="0.31496062992125984"/>
  <pageSetup scale="22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ilha2"/>
  <dimension ref="A2:H20"/>
  <sheetViews>
    <sheetView workbookViewId="0">
      <selection activeCell="B15" sqref="B15"/>
    </sheetView>
  </sheetViews>
  <sheetFormatPr defaultRowHeight="14.5" x14ac:dyDescent="0.35"/>
  <cols>
    <col min="1" max="1" width="10.1796875" style="8" bestFit="1" customWidth="1"/>
    <col min="2" max="2" width="9.1796875" style="8"/>
    <col min="3" max="3" width="12.54296875" customWidth="1"/>
    <col min="4" max="4" width="13.26953125" bestFit="1" customWidth="1"/>
    <col min="5" max="5" width="15.81640625" bestFit="1" customWidth="1"/>
    <col min="7" max="7" width="15.81640625" bestFit="1" customWidth="1"/>
    <col min="8" max="8" width="8.54296875" bestFit="1" customWidth="1"/>
  </cols>
  <sheetData>
    <row r="2" spans="1:8" x14ac:dyDescent="0.35">
      <c r="A2" s="8" t="s">
        <v>128</v>
      </c>
      <c r="B2" s="8" t="s">
        <v>129</v>
      </c>
    </row>
    <row r="3" spans="1:8" x14ac:dyDescent="0.35">
      <c r="A3" s="8">
        <v>5.5250000000000004E-3</v>
      </c>
      <c r="B3" s="8">
        <v>5.5250000000000004E-3</v>
      </c>
      <c r="C3" s="7"/>
      <c r="D3" s="7"/>
      <c r="E3" s="7"/>
      <c r="F3" s="7"/>
      <c r="G3" s="7"/>
      <c r="H3" s="7"/>
    </row>
    <row r="4" spans="1:8" x14ac:dyDescent="0.35">
      <c r="A4" s="8">
        <v>2.7230000000000002E-3</v>
      </c>
      <c r="B4" s="8">
        <v>2.7230000000000002E-3</v>
      </c>
      <c r="C4" s="7"/>
      <c r="D4" s="7"/>
      <c r="E4" s="7"/>
      <c r="F4" s="7"/>
      <c r="G4" s="7"/>
      <c r="H4" s="7"/>
    </row>
    <row r="5" spans="1:8" x14ac:dyDescent="0.35">
      <c r="A5" s="8">
        <v>5.4099999999999999E-3</v>
      </c>
      <c r="B5" s="8">
        <v>5.4099999999999999E-3</v>
      </c>
      <c r="C5" s="7"/>
      <c r="D5" s="7"/>
      <c r="E5" s="7"/>
      <c r="F5" s="7"/>
      <c r="G5" s="7"/>
      <c r="H5" s="7"/>
    </row>
    <row r="6" spans="1:8" x14ac:dyDescent="0.35">
      <c r="A6" s="8">
        <v>6.1669999999999997E-3</v>
      </c>
      <c r="B6" s="8">
        <v>6.1669999999999997E-3</v>
      </c>
      <c r="C6" s="7"/>
      <c r="D6" s="7"/>
      <c r="E6" s="7"/>
      <c r="F6" s="7"/>
      <c r="G6" s="7"/>
      <c r="H6" s="7"/>
    </row>
    <row r="7" spans="1:8" x14ac:dyDescent="0.35">
      <c r="A7" s="8">
        <v>6.0489999999999997E-3</v>
      </c>
      <c r="B7" s="8">
        <v>6.0489999999999997E-3</v>
      </c>
      <c r="C7" s="7"/>
      <c r="D7" s="7"/>
      <c r="E7" s="7"/>
      <c r="F7" s="7"/>
      <c r="G7" s="7"/>
      <c r="H7" s="7"/>
    </row>
    <row r="8" spans="1:8" x14ac:dyDescent="0.35">
      <c r="A8" s="8">
        <v>7.4949999999999999E-3</v>
      </c>
      <c r="B8" s="8">
        <v>7.4949999999999999E-3</v>
      </c>
      <c r="C8" s="7"/>
      <c r="D8" s="7"/>
      <c r="E8" s="7"/>
      <c r="F8" s="7"/>
      <c r="G8" s="7"/>
      <c r="H8" s="7"/>
    </row>
    <row r="9" spans="1:8" x14ac:dyDescent="0.35">
      <c r="A9" s="8">
        <v>5.581E-3</v>
      </c>
      <c r="B9" s="8">
        <v>5.581E-3</v>
      </c>
      <c r="C9" s="7"/>
      <c r="D9" s="7"/>
      <c r="E9" s="7"/>
      <c r="F9" s="7"/>
      <c r="G9" s="7"/>
      <c r="H9" s="7"/>
    </row>
    <row r="10" spans="1:8" x14ac:dyDescent="0.35">
      <c r="A10" s="8">
        <v>1.5701E-2</v>
      </c>
      <c r="B10" s="8">
        <v>1.5701E-2</v>
      </c>
      <c r="C10" s="7"/>
      <c r="D10" s="7"/>
      <c r="E10" s="7"/>
      <c r="F10" s="7"/>
      <c r="G10" s="7"/>
      <c r="H10" s="7"/>
    </row>
    <row r="11" spans="1:8" x14ac:dyDescent="0.35">
      <c r="A11" s="8">
        <v>5.9930000000000001E-3</v>
      </c>
      <c r="B11" s="8">
        <v>5.9930000000000001E-3</v>
      </c>
      <c r="C11" s="7"/>
      <c r="D11" s="7"/>
      <c r="E11" s="7"/>
      <c r="F11" s="7"/>
      <c r="G11" s="7"/>
      <c r="H11" s="7"/>
    </row>
    <row r="12" spans="1:8" x14ac:dyDescent="0.35">
      <c r="A12" s="8">
        <v>1.2713E-2</v>
      </c>
      <c r="B12" s="8">
        <v>1.2713E-2</v>
      </c>
      <c r="C12" s="7"/>
      <c r="D12" s="7"/>
      <c r="E12" s="7"/>
      <c r="F12" s="7"/>
      <c r="G12" s="7"/>
      <c r="H12" s="7"/>
    </row>
    <row r="13" spans="1:8" x14ac:dyDescent="0.35">
      <c r="A13" s="8">
        <v>5.8789999999999997E-3</v>
      </c>
      <c r="B13" s="8">
        <v>5.8789999999999997E-3</v>
      </c>
      <c r="C13" s="7"/>
      <c r="D13" s="7"/>
      <c r="E13" s="7"/>
      <c r="F13" s="7"/>
      <c r="G13" s="7"/>
      <c r="H13" s="7"/>
    </row>
    <row r="14" spans="1:8" x14ac:dyDescent="0.35">
      <c r="A14" s="8">
        <v>1.2600999999999999E-2</v>
      </c>
      <c r="B14" s="8">
        <v>1.2600999999999999E-2</v>
      </c>
      <c r="C14" s="7"/>
      <c r="D14" s="7"/>
      <c r="E14" s="7"/>
      <c r="F14" s="7"/>
      <c r="G14" s="7"/>
      <c r="H14" s="7"/>
    </row>
    <row r="15" spans="1:8" x14ac:dyDescent="0.35">
      <c r="A15" s="8">
        <v>6.2729999999999999E-3</v>
      </c>
      <c r="B15" s="8">
        <v>6.2729999999999999E-3</v>
      </c>
      <c r="C15" s="7"/>
      <c r="D15" s="7"/>
      <c r="E15" s="7"/>
      <c r="F15" s="7"/>
      <c r="G15" s="7"/>
      <c r="H15" s="7"/>
    </row>
    <row r="16" spans="1:8" x14ac:dyDescent="0.35">
      <c r="A16" s="8">
        <v>1.3356E-2</v>
      </c>
      <c r="B16" s="8">
        <v>1.3356E-2</v>
      </c>
      <c r="C16" s="7"/>
      <c r="D16" s="7"/>
      <c r="E16" s="7"/>
      <c r="F16" s="7"/>
      <c r="G16" s="7"/>
      <c r="H16" s="7"/>
    </row>
    <row r="17" spans="1:8" x14ac:dyDescent="0.35">
      <c r="A17" s="8">
        <v>6.7580000000000001E-3</v>
      </c>
      <c r="B17" s="8">
        <v>6.7580000000000001E-3</v>
      </c>
      <c r="C17" s="7"/>
      <c r="D17" s="7"/>
      <c r="E17" s="7"/>
      <c r="F17" s="7"/>
      <c r="G17" s="7"/>
      <c r="H17" s="7"/>
    </row>
    <row r="18" spans="1:8" x14ac:dyDescent="0.35">
      <c r="A18" s="8">
        <v>1.3488E-2</v>
      </c>
      <c r="B18" s="8">
        <v>1.3488E-2</v>
      </c>
      <c r="C18" s="7"/>
      <c r="D18" s="7"/>
      <c r="E18" s="7"/>
      <c r="F18" s="7"/>
      <c r="G18" s="7"/>
      <c r="H18" s="7"/>
    </row>
    <row r="19" spans="1:8" x14ac:dyDescent="0.35">
      <c r="C19" s="7"/>
      <c r="F19" s="7"/>
      <c r="G19" s="7"/>
    </row>
    <row r="20" spans="1:8" x14ac:dyDescent="0.35">
      <c r="G20" s="7"/>
    </row>
  </sheetData>
  <conditionalFormatting sqref="H3:H18">
    <cfRule type="cellIs" dxfId="1" priority="2" operator="greaterThan">
      <formula>0</formula>
    </cfRule>
  </conditionalFormatting>
  <conditionalFormatting sqref="C3:C18">
    <cfRule type="cellIs" dxfId="0" priority="1" operator="greaterThan">
      <formula>0</formula>
    </cfRule>
  </conditionalFormatting>
  <pageMargins left="0.511811024" right="0.511811024" top="0.78740157499999996" bottom="0.78740157499999996" header="0.31496062000000002" footer="0.3149606200000000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F09AFE-32D3-4D3D-B432-995B2B468724}">
  <sheetPr>
    <pageSetUpPr fitToPage="1"/>
  </sheetPr>
  <dimension ref="A1:D215"/>
  <sheetViews>
    <sheetView view="pageBreakPreview" topLeftCell="A188" zoomScale="85" zoomScaleNormal="85" zoomScaleSheetLayoutView="85" workbookViewId="0">
      <selection activeCell="D67" sqref="D67"/>
    </sheetView>
  </sheetViews>
  <sheetFormatPr defaultColWidth="9.1796875" defaultRowHeight="15" customHeight="1" outlineLevelRow="3" x14ac:dyDescent="0.35"/>
  <cols>
    <col min="1" max="1" width="16.7265625" customWidth="1"/>
    <col min="2" max="2" width="76.81640625" customWidth="1"/>
    <col min="3" max="3" width="22.81640625" customWidth="1"/>
    <col min="4" max="4" width="23.54296875" customWidth="1"/>
  </cols>
  <sheetData>
    <row r="1" spans="1:4" x14ac:dyDescent="0.35">
      <c r="A1" s="683" t="s">
        <v>6</v>
      </c>
      <c r="B1" s="683"/>
      <c r="C1" s="683"/>
      <c r="D1" s="683"/>
    </row>
    <row r="2" spans="1:4" x14ac:dyDescent="0.35">
      <c r="A2" s="684" t="s">
        <v>12</v>
      </c>
      <c r="B2" s="684"/>
      <c r="C2" s="685" t="s">
        <v>519</v>
      </c>
      <c r="D2" s="686"/>
    </row>
    <row r="3" spans="1:4" x14ac:dyDescent="0.35">
      <c r="A3" s="684" t="s">
        <v>13</v>
      </c>
      <c r="B3" s="684"/>
      <c r="C3" s="685" t="s">
        <v>520</v>
      </c>
      <c r="D3" s="686"/>
    </row>
    <row r="4" spans="1:4" x14ac:dyDescent="0.35">
      <c r="A4" s="687"/>
      <c r="B4" s="687"/>
      <c r="C4" s="687"/>
      <c r="D4" s="687"/>
    </row>
    <row r="5" spans="1:4" x14ac:dyDescent="0.35">
      <c r="A5" s="687" t="s">
        <v>14</v>
      </c>
      <c r="B5" s="687"/>
      <c r="C5" s="687"/>
      <c r="D5" s="687"/>
    </row>
    <row r="6" spans="1:4" x14ac:dyDescent="0.35">
      <c r="A6" s="65" t="s">
        <v>15</v>
      </c>
      <c r="B6" s="63" t="s">
        <v>5</v>
      </c>
      <c r="C6" s="707" t="s">
        <v>144</v>
      </c>
      <c r="D6" s="708"/>
    </row>
    <row r="7" spans="1:4" x14ac:dyDescent="0.35">
      <c r="A7" s="65" t="s">
        <v>16</v>
      </c>
      <c r="B7" s="63" t="s">
        <v>4</v>
      </c>
      <c r="C7" s="690" t="s">
        <v>503</v>
      </c>
      <c r="D7" s="690"/>
    </row>
    <row r="8" spans="1:4" x14ac:dyDescent="0.35">
      <c r="A8" s="25" t="s">
        <v>17</v>
      </c>
      <c r="B8" s="26" t="s">
        <v>18</v>
      </c>
      <c r="C8" s="722" t="s">
        <v>521</v>
      </c>
      <c r="D8" s="723"/>
    </row>
    <row r="9" spans="1:4" x14ac:dyDescent="0.35">
      <c r="A9" s="65" t="s">
        <v>19</v>
      </c>
      <c r="B9" s="63" t="s">
        <v>20</v>
      </c>
      <c r="C9" s="700" t="s">
        <v>21</v>
      </c>
      <c r="D9" s="701"/>
    </row>
    <row r="10" spans="1:4" x14ac:dyDescent="0.35">
      <c r="A10" s="65" t="s">
        <v>22</v>
      </c>
      <c r="B10" s="63" t="s">
        <v>23</v>
      </c>
      <c r="C10" s="700" t="s">
        <v>262</v>
      </c>
      <c r="D10" s="701"/>
    </row>
    <row r="11" spans="1:4" x14ac:dyDescent="0.35">
      <c r="A11" s="65" t="s">
        <v>24</v>
      </c>
      <c r="B11" s="63" t="s">
        <v>251</v>
      </c>
      <c r="C11" s="691">
        <f>Resumo!F13</f>
        <v>794</v>
      </c>
      <c r="D11" s="692"/>
    </row>
    <row r="12" spans="1:4" x14ac:dyDescent="0.35">
      <c r="A12" s="65" t="s">
        <v>25</v>
      </c>
      <c r="B12" s="63" t="s">
        <v>26</v>
      </c>
      <c r="C12" s="693">
        <f>Resumo!I5</f>
        <v>20</v>
      </c>
      <c r="D12" s="694"/>
    </row>
    <row r="13" spans="1:4" x14ac:dyDescent="0.35">
      <c r="A13" s="695"/>
      <c r="B13" s="696"/>
      <c r="C13" s="696"/>
      <c r="D13" s="696"/>
    </row>
    <row r="14" spans="1:4" x14ac:dyDescent="0.35">
      <c r="A14" s="697" t="s">
        <v>27</v>
      </c>
      <c r="B14" s="698"/>
      <c r="C14" s="698"/>
      <c r="D14" s="699"/>
    </row>
    <row r="15" spans="1:4" x14ac:dyDescent="0.35">
      <c r="A15" s="690" t="s">
        <v>28</v>
      </c>
      <c r="B15" s="690"/>
      <c r="C15" s="690"/>
      <c r="D15" s="690"/>
    </row>
    <row r="16" spans="1:4" x14ac:dyDescent="0.35">
      <c r="A16" s="65">
        <v>1</v>
      </c>
      <c r="B16" s="63" t="s">
        <v>29</v>
      </c>
      <c r="C16" s="700" t="s">
        <v>266</v>
      </c>
      <c r="D16" s="701" t="s">
        <v>0</v>
      </c>
    </row>
    <row r="17" spans="1:4" x14ac:dyDescent="0.35">
      <c r="A17" s="65">
        <v>2</v>
      </c>
      <c r="B17" s="27" t="s">
        <v>30</v>
      </c>
      <c r="C17" s="688" t="s">
        <v>263</v>
      </c>
      <c r="D17" s="689"/>
    </row>
    <row r="18" spans="1:4" x14ac:dyDescent="0.35">
      <c r="A18" s="690" t="s">
        <v>31</v>
      </c>
      <c r="B18" s="690"/>
      <c r="C18" s="690"/>
      <c r="D18" s="690"/>
    </row>
    <row r="19" spans="1:4" x14ac:dyDescent="0.4">
      <c r="A19" s="65">
        <v>3</v>
      </c>
      <c r="B19" s="632" t="s">
        <v>3</v>
      </c>
      <c r="C19" s="633"/>
      <c r="D19" s="103">
        <v>1325</v>
      </c>
    </row>
    <row r="20" spans="1:4" x14ac:dyDescent="0.4">
      <c r="A20" s="65">
        <v>4</v>
      </c>
      <c r="B20" s="632" t="s">
        <v>252</v>
      </c>
      <c r="C20" s="633"/>
      <c r="D20" s="155">
        <v>220</v>
      </c>
    </row>
    <row r="21" spans="1:4" x14ac:dyDescent="0.35">
      <c r="A21" s="65">
        <v>5</v>
      </c>
      <c r="B21" s="632" t="s">
        <v>32</v>
      </c>
      <c r="C21" s="633"/>
      <c r="D21" s="73" t="s">
        <v>267</v>
      </c>
    </row>
    <row r="22" spans="1:4" x14ac:dyDescent="0.35">
      <c r="A22" s="65">
        <v>6</v>
      </c>
      <c r="B22" s="632" t="s">
        <v>2</v>
      </c>
      <c r="C22" s="633"/>
      <c r="D22" s="74">
        <v>44562</v>
      </c>
    </row>
    <row r="23" spans="1:4" x14ac:dyDescent="0.35">
      <c r="A23" s="700"/>
      <c r="B23" s="711"/>
      <c r="C23" s="711"/>
      <c r="D23" s="701"/>
    </row>
    <row r="24" spans="1:4" x14ac:dyDescent="0.35">
      <c r="A24" s="712" t="s">
        <v>33</v>
      </c>
      <c r="B24" s="712"/>
      <c r="C24" s="712"/>
      <c r="D24" s="712"/>
    </row>
    <row r="25" spans="1:4" x14ac:dyDescent="0.35">
      <c r="A25" s="713"/>
      <c r="B25" s="714"/>
      <c r="C25" s="714"/>
      <c r="D25" s="694"/>
    </row>
    <row r="26" spans="1:4" x14ac:dyDescent="0.35">
      <c r="A26" s="64">
        <v>1</v>
      </c>
      <c r="B26" s="634" t="s">
        <v>34</v>
      </c>
      <c r="C26" s="636"/>
      <c r="D26" s="64" t="s">
        <v>35</v>
      </c>
    </row>
    <row r="27" spans="1:4" outlineLevel="1" x14ac:dyDescent="0.35">
      <c r="A27" s="65" t="s">
        <v>36</v>
      </c>
      <c r="B27" s="63" t="s">
        <v>146</v>
      </c>
      <c r="C27" s="71">
        <f>'SR - ASG int'!C27</f>
        <v>220</v>
      </c>
      <c r="D27" s="104">
        <f>D19/220*C27</f>
        <v>1325</v>
      </c>
    </row>
    <row r="28" spans="1:4" outlineLevel="1" x14ac:dyDescent="0.35">
      <c r="A28" s="65" t="s">
        <v>16</v>
      </c>
      <c r="B28" s="63" t="s">
        <v>37</v>
      </c>
      <c r="C28" s="28">
        <v>0</v>
      </c>
      <c r="D28" s="104">
        <f>D27*10%</f>
        <v>132.5</v>
      </c>
    </row>
    <row r="29" spans="1:4" outlineLevel="1" x14ac:dyDescent="0.35">
      <c r="A29" s="65" t="s">
        <v>17</v>
      </c>
      <c r="B29" s="63" t="s">
        <v>38</v>
      </c>
      <c r="C29" s="28">
        <v>0.4</v>
      </c>
      <c r="D29" s="104">
        <v>0</v>
      </c>
    </row>
    <row r="30" spans="1:4" outlineLevel="1" x14ac:dyDescent="0.35">
      <c r="A30" s="65" t="s">
        <v>19</v>
      </c>
      <c r="B30" s="63" t="s">
        <v>148</v>
      </c>
      <c r="C30" s="156">
        <v>0</v>
      </c>
      <c r="D30" s="105">
        <f>SUM(D31:D32)</f>
        <v>0</v>
      </c>
    </row>
    <row r="31" spans="1:4" outlineLevel="2" x14ac:dyDescent="0.35">
      <c r="A31" s="78" t="s">
        <v>111</v>
      </c>
      <c r="B31" s="63" t="s">
        <v>149</v>
      </c>
      <c r="C31" s="79">
        <v>0.2</v>
      </c>
      <c r="D31" s="105">
        <f>(SUM(D27:D29)/C27)*C31*15*C30</f>
        <v>0</v>
      </c>
    </row>
    <row r="32" spans="1:4" outlineLevel="2" x14ac:dyDescent="0.35">
      <c r="A32" s="78" t="s">
        <v>112</v>
      </c>
      <c r="B32" s="63" t="s">
        <v>150</v>
      </c>
      <c r="C32" s="80">
        <f>C30*(60/52.5)/8</f>
        <v>0</v>
      </c>
      <c r="D32" s="105">
        <f>(SUM(D27:D29)/C27)*(C31)*15*C32</f>
        <v>0</v>
      </c>
    </row>
    <row r="33" spans="1:4" outlineLevel="1" x14ac:dyDescent="0.35">
      <c r="A33" s="65" t="s">
        <v>22</v>
      </c>
      <c r="B33" s="63" t="s">
        <v>151</v>
      </c>
      <c r="C33" s="28" t="s">
        <v>152</v>
      </c>
      <c r="D33" s="1">
        <f>SUM(D34:D37)</f>
        <v>0</v>
      </c>
    </row>
    <row r="34" spans="1:4" outlineLevel="2" x14ac:dyDescent="0.35">
      <c r="A34" s="81" t="s">
        <v>153</v>
      </c>
      <c r="B34" s="82" t="s">
        <v>154</v>
      </c>
      <c r="C34" s="83">
        <v>0</v>
      </c>
      <c r="D34" s="106">
        <f>(SUM($D$27:$D$29)/$C$27)*C34*1.5</f>
        <v>0</v>
      </c>
    </row>
    <row r="35" spans="1:4" outlineLevel="2" x14ac:dyDescent="0.35">
      <c r="A35" s="81" t="s">
        <v>155</v>
      </c>
      <c r="B35" s="84" t="s">
        <v>156</v>
      </c>
      <c r="C35" s="85">
        <v>0</v>
      </c>
      <c r="D35" s="106">
        <f>(SUM($D$27:$D$29)/$C$27)*C35*((60/52.5)*1.2*1.5)</f>
        <v>0</v>
      </c>
    </row>
    <row r="36" spans="1:4" outlineLevel="2" x14ac:dyDescent="0.35">
      <c r="A36" s="81" t="s">
        <v>157</v>
      </c>
      <c r="B36" s="82" t="s">
        <v>158</v>
      </c>
      <c r="C36" s="86">
        <f>C34*0.1429</f>
        <v>0</v>
      </c>
      <c r="D36" s="106">
        <f>(SUM($D$27:$D$29)/$C$27)*C36*2</f>
        <v>0</v>
      </c>
    </row>
    <row r="37" spans="1:4" outlineLevel="2" x14ac:dyDescent="0.35">
      <c r="A37" s="81" t="s">
        <v>159</v>
      </c>
      <c r="B37" s="82" t="s">
        <v>160</v>
      </c>
      <c r="C37" s="86">
        <f>C34*0.1429</f>
        <v>0</v>
      </c>
      <c r="D37" s="106">
        <f>(SUM($D$27:$D$29)/$C$27)*C37*((60/52.5)*1.2*2)</f>
        <v>0</v>
      </c>
    </row>
    <row r="38" spans="1:4" outlineLevel="1" x14ac:dyDescent="0.35">
      <c r="A38" s="65" t="s">
        <v>24</v>
      </c>
      <c r="B38" s="55" t="s">
        <v>526</v>
      </c>
      <c r="C38" s="56">
        <v>0</v>
      </c>
      <c r="D38" s="107">
        <v>58.67</v>
      </c>
    </row>
    <row r="39" spans="1:4" x14ac:dyDescent="0.35">
      <c r="A39" s="634" t="s">
        <v>40</v>
      </c>
      <c r="B39" s="635"/>
      <c r="C39" s="636"/>
      <c r="D39" s="108">
        <f>SUM(D27:D30,D33,D38)</f>
        <v>1516.17</v>
      </c>
    </row>
    <row r="40" spans="1:4" x14ac:dyDescent="0.35">
      <c r="A40" s="650"/>
      <c r="B40" s="650"/>
      <c r="C40" s="650"/>
      <c r="D40" s="650"/>
    </row>
    <row r="41" spans="1:4" outlineLevel="1" x14ac:dyDescent="0.35">
      <c r="A41" s="87" t="s">
        <v>161</v>
      </c>
      <c r="B41" s="109" t="s">
        <v>162</v>
      </c>
      <c r="C41" s="110" t="s">
        <v>163</v>
      </c>
      <c r="D41" s="110" t="s">
        <v>35</v>
      </c>
    </row>
    <row r="42" spans="1:4" outlineLevel="1" x14ac:dyDescent="0.35">
      <c r="A42" s="111" t="s">
        <v>36</v>
      </c>
      <c r="B42" s="27" t="s">
        <v>164</v>
      </c>
      <c r="C42" s="88">
        <v>0</v>
      </c>
      <c r="D42" s="112">
        <f>(SUM(D27)/$C$27)*C42*1.5</f>
        <v>0</v>
      </c>
    </row>
    <row r="43" spans="1:4" outlineLevel="1" x14ac:dyDescent="0.35">
      <c r="A43" s="113" t="s">
        <v>17</v>
      </c>
      <c r="B43" s="114" t="s">
        <v>165</v>
      </c>
      <c r="C43" s="115">
        <v>0</v>
      </c>
      <c r="D43" s="104">
        <f>C43*177</f>
        <v>0</v>
      </c>
    </row>
    <row r="44" spans="1:4" outlineLevel="1" x14ac:dyDescent="0.35">
      <c r="A44" s="65" t="s">
        <v>19</v>
      </c>
      <c r="B44" s="55" t="s">
        <v>39</v>
      </c>
      <c r="C44" s="56">
        <v>0</v>
      </c>
      <c r="D44" s="107">
        <v>0</v>
      </c>
    </row>
    <row r="45" spans="1:4" x14ac:dyDescent="0.35">
      <c r="A45" s="644" t="s">
        <v>166</v>
      </c>
      <c r="B45" s="645"/>
      <c r="C45" s="30">
        <f>D45/D39</f>
        <v>0</v>
      </c>
      <c r="D45" s="116">
        <f>SUM(D42:D43)</f>
        <v>0</v>
      </c>
    </row>
    <row r="46" spans="1:4" x14ac:dyDescent="0.35">
      <c r="A46" s="646"/>
      <c r="B46" s="647"/>
      <c r="C46" s="647"/>
      <c r="D46" s="648"/>
    </row>
    <row r="47" spans="1:4" x14ac:dyDescent="0.35">
      <c r="A47" s="663" t="s">
        <v>41</v>
      </c>
      <c r="B47" s="664"/>
      <c r="C47" s="664"/>
      <c r="D47" s="665"/>
    </row>
    <row r="48" spans="1:4" outlineLevel="1" x14ac:dyDescent="0.35">
      <c r="A48" s="646"/>
      <c r="B48" s="647"/>
      <c r="C48" s="647"/>
      <c r="D48" s="648"/>
    </row>
    <row r="49" spans="1:4" outlineLevel="1" x14ac:dyDescent="0.35">
      <c r="A49" s="110" t="s">
        <v>42</v>
      </c>
      <c r="B49" s="109" t="s">
        <v>43</v>
      </c>
      <c r="C49" s="110" t="s">
        <v>44</v>
      </c>
      <c r="D49" s="110" t="s">
        <v>35</v>
      </c>
    </row>
    <row r="50" spans="1:4" outlineLevel="2" x14ac:dyDescent="0.35">
      <c r="A50" s="113" t="s">
        <v>36</v>
      </c>
      <c r="B50" s="114" t="s">
        <v>45</v>
      </c>
      <c r="C50" s="29">
        <f>1/12</f>
        <v>8.3299999999999999E-2</v>
      </c>
      <c r="D50" s="104">
        <f>C50*D39</f>
        <v>126.3</v>
      </c>
    </row>
    <row r="51" spans="1:4" outlineLevel="2" x14ac:dyDescent="0.35">
      <c r="A51" s="113" t="s">
        <v>16</v>
      </c>
      <c r="B51" s="114" t="s">
        <v>113</v>
      </c>
      <c r="C51" s="29">
        <f>IF(C12&gt;60,(1/C12/3)*5,IF(C12&gt;48,(1/C12/3)*4,IF(C12&gt;36,(1/C12/3)*3,IF(C12&gt;24,(1/C12/3)*2,IF(C12&gt;12,(1/C12/3)*1,0)))))</f>
        <v>1.67E-2</v>
      </c>
      <c r="D51" s="104">
        <f>C51*D39</f>
        <v>25.32</v>
      </c>
    </row>
    <row r="52" spans="1:4" outlineLevel="1" x14ac:dyDescent="0.35">
      <c r="A52" s="644" t="s">
        <v>11</v>
      </c>
      <c r="B52" s="645"/>
      <c r="C52" s="30">
        <f>SUM(C50:C51)</f>
        <v>0.1</v>
      </c>
      <c r="D52" s="116">
        <f>SUM(D50:D51)</f>
        <v>151.62</v>
      </c>
    </row>
    <row r="53" spans="1:4" outlineLevel="1" x14ac:dyDescent="0.35">
      <c r="A53" s="646"/>
      <c r="B53" s="647"/>
      <c r="C53" s="647"/>
      <c r="D53" s="648"/>
    </row>
    <row r="54" spans="1:4" outlineLevel="1" x14ac:dyDescent="0.35">
      <c r="A54" s="110" t="s">
        <v>46</v>
      </c>
      <c r="B54" s="117" t="s">
        <v>47</v>
      </c>
      <c r="C54" s="110" t="s">
        <v>44</v>
      </c>
      <c r="D54" s="118" t="s">
        <v>35</v>
      </c>
    </row>
    <row r="55" spans="1:4" outlineLevel="2" x14ac:dyDescent="0.35">
      <c r="A55" s="111" t="s">
        <v>36</v>
      </c>
      <c r="B55" s="31" t="s">
        <v>48</v>
      </c>
      <c r="C55" s="32">
        <v>0.2</v>
      </c>
      <c r="D55" s="104">
        <f t="shared" ref="D55:D62" si="0">C55*($D$39+$D$52)</f>
        <v>333.56</v>
      </c>
    </row>
    <row r="56" spans="1:4" outlineLevel="2" x14ac:dyDescent="0.35">
      <c r="A56" s="111" t="s">
        <v>16</v>
      </c>
      <c r="B56" s="31" t="s">
        <v>49</v>
      </c>
      <c r="C56" s="32">
        <v>2.5000000000000001E-2</v>
      </c>
      <c r="D56" s="104">
        <f t="shared" si="0"/>
        <v>41.69</v>
      </c>
    </row>
    <row r="57" spans="1:4" outlineLevel="2" x14ac:dyDescent="0.35">
      <c r="A57" s="111" t="s">
        <v>17</v>
      </c>
      <c r="B57" s="31" t="s">
        <v>167</v>
      </c>
      <c r="C57" s="66">
        <v>0.03</v>
      </c>
      <c r="D57" s="104">
        <f t="shared" si="0"/>
        <v>50.03</v>
      </c>
    </row>
    <row r="58" spans="1:4" outlineLevel="2" x14ac:dyDescent="0.35">
      <c r="A58" s="111" t="s">
        <v>19</v>
      </c>
      <c r="B58" s="31" t="s">
        <v>168</v>
      </c>
      <c r="C58" s="32">
        <v>1.4999999999999999E-2</v>
      </c>
      <c r="D58" s="104">
        <f t="shared" si="0"/>
        <v>25.02</v>
      </c>
    </row>
    <row r="59" spans="1:4" outlineLevel="2" x14ac:dyDescent="0.35">
      <c r="A59" s="111" t="s">
        <v>22</v>
      </c>
      <c r="B59" s="31" t="s">
        <v>169</v>
      </c>
      <c r="C59" s="32">
        <v>0.01</v>
      </c>
      <c r="D59" s="104">
        <f t="shared" si="0"/>
        <v>16.68</v>
      </c>
    </row>
    <row r="60" spans="1:4" outlineLevel="2" x14ac:dyDescent="0.35">
      <c r="A60" s="111" t="s">
        <v>24</v>
      </c>
      <c r="B60" s="31" t="s">
        <v>50</v>
      </c>
      <c r="C60" s="32">
        <v>6.0000000000000001E-3</v>
      </c>
      <c r="D60" s="104">
        <f t="shared" si="0"/>
        <v>10.01</v>
      </c>
    </row>
    <row r="61" spans="1:4" outlineLevel="2" x14ac:dyDescent="0.35">
      <c r="A61" s="111" t="s">
        <v>25</v>
      </c>
      <c r="B61" s="31" t="s">
        <v>51</v>
      </c>
      <c r="C61" s="32">
        <v>2E-3</v>
      </c>
      <c r="D61" s="104">
        <f t="shared" si="0"/>
        <v>3.34</v>
      </c>
    </row>
    <row r="62" spans="1:4" outlineLevel="2" x14ac:dyDescent="0.35">
      <c r="A62" s="111" t="s">
        <v>52</v>
      </c>
      <c r="B62" s="31" t="s">
        <v>53</v>
      </c>
      <c r="C62" s="32">
        <v>0.08</v>
      </c>
      <c r="D62" s="104">
        <f t="shared" si="0"/>
        <v>133.41999999999999</v>
      </c>
    </row>
    <row r="63" spans="1:4" outlineLevel="1" x14ac:dyDescent="0.35">
      <c r="A63" s="644" t="s">
        <v>11</v>
      </c>
      <c r="B63" s="645"/>
      <c r="C63" s="33">
        <f>SUM(C55:C62)</f>
        <v>0.36799999999999999</v>
      </c>
      <c r="D63" s="119">
        <f>SUM(D55:D62)</f>
        <v>613.75</v>
      </c>
    </row>
    <row r="64" spans="1:4" outlineLevel="1" x14ac:dyDescent="0.35">
      <c r="A64" s="646"/>
      <c r="B64" s="647"/>
      <c r="C64" s="647"/>
      <c r="D64" s="648"/>
    </row>
    <row r="65" spans="1:4" outlineLevel="1" x14ac:dyDescent="0.35">
      <c r="A65" s="110" t="s">
        <v>54</v>
      </c>
      <c r="B65" s="117" t="s">
        <v>55</v>
      </c>
      <c r="C65" s="110" t="s">
        <v>56</v>
      </c>
      <c r="D65" s="110" t="s">
        <v>35</v>
      </c>
    </row>
    <row r="66" spans="1:4" outlineLevel="2" x14ac:dyDescent="0.35">
      <c r="A66" s="111" t="s">
        <v>36</v>
      </c>
      <c r="B66" s="31" t="s">
        <v>57</v>
      </c>
      <c r="C66" s="120">
        <f>+TLS!C66</f>
        <v>4</v>
      </c>
      <c r="D66" s="121">
        <f>IF(D67+D68&gt;0,(D67+D68),0)</f>
        <v>96.5</v>
      </c>
    </row>
    <row r="67" spans="1:4" outlineLevel="3" x14ac:dyDescent="0.35">
      <c r="A67" s="122" t="s">
        <v>110</v>
      </c>
      <c r="B67" s="31" t="s">
        <v>170</v>
      </c>
      <c r="C67" s="123">
        <v>22</v>
      </c>
      <c r="D67" s="124">
        <f>C66*C67*2</f>
        <v>176</v>
      </c>
    </row>
    <row r="68" spans="1:4" outlineLevel="3" x14ac:dyDescent="0.35">
      <c r="A68" s="122" t="s">
        <v>114</v>
      </c>
      <c r="B68" s="31" t="s">
        <v>171</v>
      </c>
      <c r="C68" s="125">
        <v>0.06</v>
      </c>
      <c r="D68" s="124">
        <f>-D27*C68</f>
        <v>-79.5</v>
      </c>
    </row>
    <row r="69" spans="1:4" outlineLevel="2" x14ac:dyDescent="0.35">
      <c r="A69" s="111" t="s">
        <v>16</v>
      </c>
      <c r="B69" s="31" t="s">
        <v>58</v>
      </c>
      <c r="C69" s="382">
        <f>290/22</f>
        <v>13.182</v>
      </c>
      <c r="D69" s="121">
        <f>D70+D71</f>
        <v>290</v>
      </c>
    </row>
    <row r="70" spans="1:4" outlineLevel="3" x14ac:dyDescent="0.35">
      <c r="A70" s="122" t="s">
        <v>90</v>
      </c>
      <c r="B70" s="31" t="s">
        <v>172</v>
      </c>
      <c r="C70" s="123">
        <v>22</v>
      </c>
      <c r="D70" s="124">
        <f>C69*C70</f>
        <v>290</v>
      </c>
    </row>
    <row r="71" spans="1:4" outlineLevel="3" x14ac:dyDescent="0.35">
      <c r="A71" s="122" t="s">
        <v>115</v>
      </c>
      <c r="B71" s="31" t="s">
        <v>91</v>
      </c>
      <c r="C71" s="127">
        <f>'SR - ASG int'!C71</f>
        <v>0</v>
      </c>
      <c r="D71" s="124">
        <f>D70*C71</f>
        <v>0</v>
      </c>
    </row>
    <row r="72" spans="1:4" outlineLevel="2" x14ac:dyDescent="0.35">
      <c r="A72" s="111" t="s">
        <v>17</v>
      </c>
      <c r="B72" s="75" t="s">
        <v>291</v>
      </c>
      <c r="C72" s="126">
        <f>'SR - ASG int'!C72</f>
        <v>9.6999999999999993</v>
      </c>
      <c r="D72" s="129">
        <f>C72</f>
        <v>9.6999999999999993</v>
      </c>
    </row>
    <row r="73" spans="1:4" outlineLevel="2" x14ac:dyDescent="0.35">
      <c r="A73" s="111" t="s">
        <v>19</v>
      </c>
      <c r="B73" s="76" t="s">
        <v>293</v>
      </c>
      <c r="C73" s="126">
        <f>140*3</f>
        <v>420</v>
      </c>
      <c r="D73" s="129">
        <f>C73*C152</f>
        <v>0.84</v>
      </c>
    </row>
    <row r="74" spans="1:4" outlineLevel="2" x14ac:dyDescent="0.35">
      <c r="A74" s="111" t="s">
        <v>22</v>
      </c>
      <c r="B74" s="75" t="s">
        <v>292</v>
      </c>
      <c r="C74" s="126">
        <v>21</v>
      </c>
      <c r="D74" s="129">
        <f>C74</f>
        <v>21</v>
      </c>
    </row>
    <row r="75" spans="1:4" outlineLevel="2" x14ac:dyDescent="0.35">
      <c r="A75" s="111" t="s">
        <v>24</v>
      </c>
      <c r="B75" s="75" t="s">
        <v>554</v>
      </c>
      <c r="C75" s="128">
        <v>0</v>
      </c>
      <c r="D75" s="129">
        <v>97</v>
      </c>
    </row>
    <row r="76" spans="1:4" outlineLevel="2" x14ac:dyDescent="0.35">
      <c r="A76" s="111" t="s">
        <v>25</v>
      </c>
      <c r="B76" s="75" t="s">
        <v>39</v>
      </c>
      <c r="C76" s="126">
        <v>0</v>
      </c>
      <c r="D76" s="130">
        <f>C76</f>
        <v>0</v>
      </c>
    </row>
    <row r="77" spans="1:4" outlineLevel="1" x14ac:dyDescent="0.35">
      <c r="A77" s="644" t="s">
        <v>59</v>
      </c>
      <c r="B77" s="657"/>
      <c r="C77" s="645"/>
      <c r="D77" s="116">
        <f>SUM(D66,D69,D72:D76)</f>
        <v>515.04</v>
      </c>
    </row>
    <row r="78" spans="1:4" outlineLevel="1" x14ac:dyDescent="0.35">
      <c r="A78" s="646"/>
      <c r="B78" s="647"/>
      <c r="C78" s="647"/>
      <c r="D78" s="648"/>
    </row>
    <row r="79" spans="1:4" outlineLevel="1" x14ac:dyDescent="0.35">
      <c r="A79" s="661" t="s">
        <v>60</v>
      </c>
      <c r="B79" s="662"/>
      <c r="C79" s="110" t="s">
        <v>44</v>
      </c>
      <c r="D79" s="110" t="s">
        <v>35</v>
      </c>
    </row>
    <row r="80" spans="1:4" outlineLevel="1" x14ac:dyDescent="0.35">
      <c r="A80" s="111" t="s">
        <v>61</v>
      </c>
      <c r="B80" s="31" t="s">
        <v>43</v>
      </c>
      <c r="C80" s="34">
        <f>C52</f>
        <v>0.1</v>
      </c>
      <c r="D80" s="104">
        <f>D52</f>
        <v>151.62</v>
      </c>
    </row>
    <row r="81" spans="1:4" outlineLevel="1" x14ac:dyDescent="0.35">
      <c r="A81" s="111" t="s">
        <v>46</v>
      </c>
      <c r="B81" s="31" t="s">
        <v>47</v>
      </c>
      <c r="C81" s="34">
        <f>C63</f>
        <v>0.36799999999999999</v>
      </c>
      <c r="D81" s="104">
        <f>D63</f>
        <v>613.75</v>
      </c>
    </row>
    <row r="82" spans="1:4" outlineLevel="1" x14ac:dyDescent="0.35">
      <c r="A82" s="111" t="s">
        <v>62</v>
      </c>
      <c r="B82" s="31" t="s">
        <v>55</v>
      </c>
      <c r="C82" s="34">
        <f>D77/D39</f>
        <v>0.3397</v>
      </c>
      <c r="D82" s="104">
        <f>D77</f>
        <v>515.04</v>
      </c>
    </row>
    <row r="83" spans="1:4" x14ac:dyDescent="0.35">
      <c r="A83" s="644" t="s">
        <v>11</v>
      </c>
      <c r="B83" s="657"/>
      <c r="C83" s="645"/>
      <c r="D83" s="116">
        <f>SUM(D80:D82)</f>
        <v>1280.4100000000001</v>
      </c>
    </row>
    <row r="84" spans="1:4" x14ac:dyDescent="0.35">
      <c r="A84" s="646"/>
      <c r="B84" s="647"/>
      <c r="C84" s="647"/>
      <c r="D84" s="648"/>
    </row>
    <row r="85" spans="1:4" x14ac:dyDescent="0.35">
      <c r="A85" s="680" t="s">
        <v>173</v>
      </c>
      <c r="B85" s="681"/>
      <c r="C85" s="681"/>
      <c r="D85" s="682"/>
    </row>
    <row r="86" spans="1:4" outlineLevel="1" x14ac:dyDescent="0.35">
      <c r="A86" s="646"/>
      <c r="B86" s="647"/>
      <c r="C86" s="647"/>
      <c r="D86" s="648"/>
    </row>
    <row r="87" spans="1:4" outlineLevel="1" x14ac:dyDescent="0.35">
      <c r="A87" s="64" t="s">
        <v>174</v>
      </c>
      <c r="B87" s="109" t="s">
        <v>175</v>
      </c>
      <c r="C87" s="110" t="s">
        <v>44</v>
      </c>
      <c r="D87" s="110" t="s">
        <v>35</v>
      </c>
    </row>
    <row r="88" spans="1:4" outlineLevel="2" x14ac:dyDescent="0.35">
      <c r="A88" s="35" t="s">
        <v>36</v>
      </c>
      <c r="B88" s="36" t="s">
        <v>176</v>
      </c>
      <c r="C88" s="35" t="s">
        <v>152</v>
      </c>
      <c r="D88" s="131">
        <f>IF(C99&gt;1,SUM(D89:D92)*2,SUM(D89:D92))</f>
        <v>2136.5500000000002</v>
      </c>
    </row>
    <row r="89" spans="1:4" hidden="1" outlineLevel="3" x14ac:dyDescent="0.35">
      <c r="A89" s="37" t="s">
        <v>177</v>
      </c>
      <c r="B89" s="38" t="s">
        <v>178</v>
      </c>
      <c r="C89" s="35">
        <f>(IF(C12&gt;60,45,IF(C12&gt;48,42,IF(C12&gt;36,39,IF(C12&gt;24,36,IF(C12&gt;12,33,30)))))/30)</f>
        <v>1.1000000000000001</v>
      </c>
      <c r="D89" s="131">
        <f>D39*C89</f>
        <v>1667.79</v>
      </c>
    </row>
    <row r="90" spans="1:4" hidden="1" outlineLevel="3" x14ac:dyDescent="0.35">
      <c r="A90" s="37" t="s">
        <v>179</v>
      </c>
      <c r="B90" s="38" t="s">
        <v>180</v>
      </c>
      <c r="C90" s="29">
        <f>1/12</f>
        <v>8.3299999999999999E-2</v>
      </c>
      <c r="D90" s="131">
        <f>C90*D89</f>
        <v>138.93</v>
      </c>
    </row>
    <row r="91" spans="1:4" hidden="1" outlineLevel="3" x14ac:dyDescent="0.35">
      <c r="A91" s="37" t="s">
        <v>181</v>
      </c>
      <c r="B91" s="38" t="s">
        <v>182</v>
      </c>
      <c r="C91" s="29">
        <f>(1/12)+(1/12/3)</f>
        <v>0.1111</v>
      </c>
      <c r="D91" s="132">
        <f>C91*D89</f>
        <v>185.29</v>
      </c>
    </row>
    <row r="92" spans="1:4" hidden="1" outlineLevel="3" x14ac:dyDescent="0.35">
      <c r="A92" s="37" t="s">
        <v>183</v>
      </c>
      <c r="B92" s="38" t="s">
        <v>184</v>
      </c>
      <c r="C92" s="39">
        <v>0.08</v>
      </c>
      <c r="D92" s="131">
        <f>SUM(D89:D90)*C92</f>
        <v>144.54</v>
      </c>
    </row>
    <row r="93" spans="1:4" outlineLevel="2" collapsed="1" x14ac:dyDescent="0.35">
      <c r="A93" s="35" t="s">
        <v>16</v>
      </c>
      <c r="B93" s="36" t="s">
        <v>185</v>
      </c>
      <c r="C93" s="40">
        <v>0.4</v>
      </c>
      <c r="D93" s="131">
        <f>C93*D94</f>
        <v>1069</v>
      </c>
    </row>
    <row r="94" spans="1:4" hidden="1" outlineLevel="3" x14ac:dyDescent="0.35">
      <c r="A94" s="35" t="s">
        <v>186</v>
      </c>
      <c r="B94" s="36" t="s">
        <v>187</v>
      </c>
      <c r="C94" s="40">
        <f>C62</f>
        <v>0.08</v>
      </c>
      <c r="D94" s="131">
        <f>C94*D95</f>
        <v>2672.5</v>
      </c>
    </row>
    <row r="95" spans="1:4" hidden="1" outlineLevel="3" x14ac:dyDescent="0.35">
      <c r="A95" s="35" t="s">
        <v>188</v>
      </c>
      <c r="B95" s="41" t="s">
        <v>116</v>
      </c>
      <c r="C95" s="42" t="s">
        <v>152</v>
      </c>
      <c r="D95" s="132">
        <f>SUM(D96:D98)</f>
        <v>33406.28</v>
      </c>
    </row>
    <row r="96" spans="1:4" hidden="1" outlineLevel="3" x14ac:dyDescent="0.35">
      <c r="A96" s="37" t="s">
        <v>189</v>
      </c>
      <c r="B96" s="38" t="s">
        <v>190</v>
      </c>
      <c r="C96" s="43">
        <f>C12-C98</f>
        <v>19</v>
      </c>
      <c r="D96" s="131">
        <f>D39*C96</f>
        <v>28807.23</v>
      </c>
    </row>
    <row r="97" spans="1:4" hidden="1" outlineLevel="3" x14ac:dyDescent="0.35">
      <c r="A97" s="37" t="s">
        <v>191</v>
      </c>
      <c r="B97" s="38" t="s">
        <v>192</v>
      </c>
      <c r="C97" s="44">
        <f>C12/12</f>
        <v>1.7</v>
      </c>
      <c r="D97" s="131">
        <f>D39*C97</f>
        <v>2577.4899999999998</v>
      </c>
    </row>
    <row r="98" spans="1:4" hidden="1" outlineLevel="3" x14ac:dyDescent="0.35">
      <c r="A98" s="37" t="s">
        <v>193</v>
      </c>
      <c r="B98" s="38" t="s">
        <v>194</v>
      </c>
      <c r="C98" s="42">
        <f>IF(C12&gt;60,5,IF(C12&gt;48,4,IF(C12&gt;36,3,IF(C12&gt;24,2,IF(C12&gt;12,1,0)))))</f>
        <v>1</v>
      </c>
      <c r="D98" s="132">
        <f>D39*C98*1.33333333333333</f>
        <v>2021.56</v>
      </c>
    </row>
    <row r="99" spans="1:4" outlineLevel="1" x14ac:dyDescent="0.35">
      <c r="A99" s="644" t="s">
        <v>11</v>
      </c>
      <c r="B99" s="645"/>
      <c r="C99" s="67">
        <f>'SR - ASG int'!C99</f>
        <v>5.5500000000000001E-2</v>
      </c>
      <c r="D99" s="116">
        <f>IF(C99&gt;1,D88+D93,(D88+D93)*C99)</f>
        <v>177.91</v>
      </c>
    </row>
    <row r="100" spans="1:4" outlineLevel="1" x14ac:dyDescent="0.35">
      <c r="A100" s="658"/>
      <c r="B100" s="659"/>
      <c r="C100" s="659"/>
      <c r="D100" s="660"/>
    </row>
    <row r="101" spans="1:4" outlineLevel="1" x14ac:dyDescent="0.35">
      <c r="A101" s="64" t="s">
        <v>195</v>
      </c>
      <c r="B101" s="109" t="s">
        <v>196</v>
      </c>
      <c r="C101" s="110" t="s">
        <v>44</v>
      </c>
      <c r="D101" s="110" t="s">
        <v>35</v>
      </c>
    </row>
    <row r="102" spans="1:4" outlineLevel="2" x14ac:dyDescent="0.35">
      <c r="A102" s="35" t="s">
        <v>36</v>
      </c>
      <c r="B102" s="41" t="s">
        <v>197</v>
      </c>
      <c r="C102" s="45">
        <f>IF(C111&gt;1,(1/30*7)*2,(1/30*7))</f>
        <v>0.23330000000000001</v>
      </c>
      <c r="D102" s="132">
        <f>C102*SUM(D103:D107)</f>
        <v>683.66</v>
      </c>
    </row>
    <row r="103" spans="1:4" hidden="1" outlineLevel="3" x14ac:dyDescent="0.35">
      <c r="A103" s="37" t="s">
        <v>177</v>
      </c>
      <c r="B103" s="38" t="s">
        <v>198</v>
      </c>
      <c r="C103" s="35">
        <v>1</v>
      </c>
      <c r="D103" s="131">
        <f>D39</f>
        <v>1516.17</v>
      </c>
    </row>
    <row r="104" spans="1:4" hidden="1" outlineLevel="3" x14ac:dyDescent="0.35">
      <c r="A104" s="37" t="s">
        <v>179</v>
      </c>
      <c r="B104" s="38" t="s">
        <v>199</v>
      </c>
      <c r="C104" s="29">
        <f>1/12</f>
        <v>8.3299999999999999E-2</v>
      </c>
      <c r="D104" s="131">
        <f>C104*D103</f>
        <v>126.3</v>
      </c>
    </row>
    <row r="105" spans="1:4" hidden="1" outlineLevel="3" x14ac:dyDescent="0.35">
      <c r="A105" s="37" t="s">
        <v>181</v>
      </c>
      <c r="B105" s="38" t="s">
        <v>200</v>
      </c>
      <c r="C105" s="29">
        <f>(1/12)+(1/12/3)</f>
        <v>0.1111</v>
      </c>
      <c r="D105" s="131">
        <f>C105*D103</f>
        <v>168.45</v>
      </c>
    </row>
    <row r="106" spans="1:4" hidden="1" outlineLevel="3" x14ac:dyDescent="0.35">
      <c r="A106" s="37" t="s">
        <v>183</v>
      </c>
      <c r="B106" s="46" t="s">
        <v>63</v>
      </c>
      <c r="C106" s="47">
        <f>C63</f>
        <v>0.36799999999999999</v>
      </c>
      <c r="D106" s="132">
        <f>C106*(D103+D104)</f>
        <v>604.42999999999995</v>
      </c>
    </row>
    <row r="107" spans="1:4" hidden="1" outlineLevel="3" x14ac:dyDescent="0.35">
      <c r="A107" s="37" t="s">
        <v>201</v>
      </c>
      <c r="B107" s="46" t="s">
        <v>202</v>
      </c>
      <c r="C107" s="42">
        <v>1</v>
      </c>
      <c r="D107" s="132">
        <f>D77</f>
        <v>515.04</v>
      </c>
    </row>
    <row r="108" spans="1:4" outlineLevel="2" collapsed="1" x14ac:dyDescent="0.35">
      <c r="A108" s="35" t="s">
        <v>16</v>
      </c>
      <c r="B108" s="36" t="s">
        <v>203</v>
      </c>
      <c r="C108" s="40">
        <v>0.4</v>
      </c>
      <c r="D108" s="131">
        <f>C108*D109</f>
        <v>1069</v>
      </c>
    </row>
    <row r="109" spans="1:4" outlineLevel="2" x14ac:dyDescent="0.35">
      <c r="A109" s="35" t="s">
        <v>186</v>
      </c>
      <c r="B109" s="36" t="s">
        <v>187</v>
      </c>
      <c r="C109" s="40">
        <f>C62</f>
        <v>0.08</v>
      </c>
      <c r="D109" s="131">
        <f>C109*D110</f>
        <v>2672.5</v>
      </c>
    </row>
    <row r="110" spans="1:4" outlineLevel="2" x14ac:dyDescent="0.35">
      <c r="A110" s="35" t="s">
        <v>188</v>
      </c>
      <c r="B110" s="41" t="s">
        <v>116</v>
      </c>
      <c r="C110" s="42" t="s">
        <v>152</v>
      </c>
      <c r="D110" s="132">
        <f>D95</f>
        <v>33406.28</v>
      </c>
    </row>
    <row r="111" spans="1:4" outlineLevel="1" x14ac:dyDescent="0.35">
      <c r="A111" s="644" t="s">
        <v>11</v>
      </c>
      <c r="B111" s="645"/>
      <c r="C111" s="67">
        <f>'SR - ASG int'!C111</f>
        <v>0.94450000000000001</v>
      </c>
      <c r="D111" s="116">
        <f>IF(C111&gt;1,D102+D108,(D102+D108)*C111)</f>
        <v>1655.39</v>
      </c>
    </row>
    <row r="112" spans="1:4" outlineLevel="1" x14ac:dyDescent="0.35">
      <c r="A112" s="658"/>
      <c r="B112" s="659"/>
      <c r="C112" s="659"/>
      <c r="D112" s="660"/>
    </row>
    <row r="113" spans="1:4" outlineLevel="1" x14ac:dyDescent="0.35">
      <c r="A113" s="64" t="s">
        <v>204</v>
      </c>
      <c r="B113" s="109" t="s">
        <v>205</v>
      </c>
      <c r="C113" s="110" t="s">
        <v>44</v>
      </c>
      <c r="D113" s="110" t="s">
        <v>35</v>
      </c>
    </row>
    <row r="114" spans="1:4" outlineLevel="2" x14ac:dyDescent="0.35">
      <c r="A114" s="111" t="s">
        <v>36</v>
      </c>
      <c r="B114" s="31" t="s">
        <v>206</v>
      </c>
      <c r="C114" s="34">
        <f>IF(C12&gt;60,(D39/12*(C12-60))/C12/D39,IF(C12&gt;48,(D39/12*(C12-48))/C12/D39,IF(C12&gt;36,(D39/12*(C12-36))/C12/D39,IF(C12&gt;24,(D39/12*(C12-24))/C12/D39,IF(C12&gt;12,((D39/12*(C12-12))/C12/D39),1/12)))))</f>
        <v>3.3300000000000003E-2</v>
      </c>
      <c r="D114" s="133">
        <f>C114*D39</f>
        <v>50.49</v>
      </c>
    </row>
    <row r="115" spans="1:4" outlineLevel="2" x14ac:dyDescent="0.35">
      <c r="A115" s="111" t="s">
        <v>16</v>
      </c>
      <c r="B115" s="48" t="s">
        <v>207</v>
      </c>
      <c r="C115" s="34">
        <f>C114/3</f>
        <v>1.11E-2</v>
      </c>
      <c r="D115" s="134">
        <f>C115*D39</f>
        <v>16.829999999999998</v>
      </c>
    </row>
    <row r="116" spans="1:4" outlineLevel="1" x14ac:dyDescent="0.35">
      <c r="A116" s="644" t="s">
        <v>11</v>
      </c>
      <c r="B116" s="645"/>
      <c r="C116" s="30">
        <f>C114+C115</f>
        <v>4.4400000000000002E-2</v>
      </c>
      <c r="D116" s="116">
        <f>SUM(D114:D115)</f>
        <v>67.319999999999993</v>
      </c>
    </row>
    <row r="117" spans="1:4" outlineLevel="1" x14ac:dyDescent="0.35">
      <c r="A117" s="658"/>
      <c r="B117" s="659"/>
      <c r="C117" s="659"/>
      <c r="D117" s="660"/>
    </row>
    <row r="118" spans="1:4" outlineLevel="1" x14ac:dyDescent="0.35">
      <c r="A118" s="661" t="s">
        <v>208</v>
      </c>
      <c r="B118" s="662"/>
      <c r="C118" s="110" t="s">
        <v>44</v>
      </c>
      <c r="D118" s="110" t="s">
        <v>35</v>
      </c>
    </row>
    <row r="119" spans="1:4" outlineLevel="1" x14ac:dyDescent="0.35">
      <c r="A119" s="111" t="s">
        <v>174</v>
      </c>
      <c r="B119" s="31" t="s">
        <v>175</v>
      </c>
      <c r="C119" s="34">
        <f>C99</f>
        <v>5.5500000000000001E-2</v>
      </c>
      <c r="D119" s="104">
        <f>D99</f>
        <v>177.91</v>
      </c>
    </row>
    <row r="120" spans="1:4" outlineLevel="1" x14ac:dyDescent="0.35">
      <c r="A120" s="113" t="s">
        <v>195</v>
      </c>
      <c r="B120" s="31" t="s">
        <v>196</v>
      </c>
      <c r="C120" s="49">
        <f>C111</f>
        <v>0.94450000000000001</v>
      </c>
      <c r="D120" s="104">
        <f>D111</f>
        <v>1655.39</v>
      </c>
    </row>
    <row r="121" spans="1:4" outlineLevel="1" x14ac:dyDescent="0.35">
      <c r="A121" s="679" t="s">
        <v>209</v>
      </c>
      <c r="B121" s="679"/>
      <c r="C121" s="679"/>
      <c r="D121" s="135">
        <f>D119+D120</f>
        <v>1833.3</v>
      </c>
    </row>
    <row r="122" spans="1:4" outlineLevel="1" x14ac:dyDescent="0.35">
      <c r="A122" s="675" t="s">
        <v>210</v>
      </c>
      <c r="B122" s="676"/>
      <c r="C122" s="68">
        <f>'SR - ASG int'!C122</f>
        <v>0.63570000000000004</v>
      </c>
      <c r="D122" s="58">
        <f>C122*D121</f>
        <v>1165.43</v>
      </c>
    </row>
    <row r="123" spans="1:4" outlineLevel="1" x14ac:dyDescent="0.35">
      <c r="A123" s="675" t="s">
        <v>211</v>
      </c>
      <c r="B123" s="676"/>
      <c r="C123" s="68">
        <f>'SR - ASG int'!C123</f>
        <v>1.0999999999999999E-2</v>
      </c>
      <c r="D123" s="58">
        <f>(D50+(D116/2))*-C123</f>
        <v>-1.76</v>
      </c>
    </row>
    <row r="124" spans="1:4" outlineLevel="1" x14ac:dyDescent="0.35">
      <c r="A124" s="677" t="s">
        <v>212</v>
      </c>
      <c r="B124" s="678"/>
      <c r="C124" s="72">
        <f>1/C12</f>
        <v>0.05</v>
      </c>
      <c r="D124" s="59">
        <f>(D122+D123)*C124</f>
        <v>58.18</v>
      </c>
    </row>
    <row r="125" spans="1:4" outlineLevel="1" x14ac:dyDescent="0.35">
      <c r="A125" s="113" t="s">
        <v>204</v>
      </c>
      <c r="B125" s="31" t="s">
        <v>213</v>
      </c>
      <c r="C125" s="49"/>
      <c r="D125" s="124">
        <f>D116</f>
        <v>67.319999999999993</v>
      </c>
    </row>
    <row r="126" spans="1:4" x14ac:dyDescent="0.35">
      <c r="A126" s="644" t="s">
        <v>11</v>
      </c>
      <c r="B126" s="645"/>
      <c r="C126" s="30"/>
      <c r="D126" s="136">
        <f>D124+D125</f>
        <v>125.5</v>
      </c>
    </row>
    <row r="127" spans="1:4" x14ac:dyDescent="0.35">
      <c r="A127" s="646"/>
      <c r="B127" s="647"/>
      <c r="C127" s="647"/>
      <c r="D127" s="648"/>
    </row>
    <row r="128" spans="1:4" x14ac:dyDescent="0.35">
      <c r="A128" s="663" t="s">
        <v>64</v>
      </c>
      <c r="B128" s="664"/>
      <c r="C128" s="664"/>
      <c r="D128" s="665"/>
    </row>
    <row r="129" spans="1:4" outlineLevel="1" x14ac:dyDescent="0.35">
      <c r="A129" s="658"/>
      <c r="B129" s="659"/>
      <c r="C129" s="659"/>
      <c r="D129" s="660"/>
    </row>
    <row r="130" spans="1:4" outlineLevel="1" x14ac:dyDescent="0.35">
      <c r="A130" s="110" t="s">
        <v>65</v>
      </c>
      <c r="B130" s="117" t="s">
        <v>214</v>
      </c>
      <c r="C130" s="30" t="s">
        <v>44</v>
      </c>
      <c r="D130" s="110" t="s">
        <v>35</v>
      </c>
    </row>
    <row r="131" spans="1:4" outlineLevel="2" x14ac:dyDescent="0.35">
      <c r="A131" s="137" t="s">
        <v>36</v>
      </c>
      <c r="B131" s="89" t="s">
        <v>66</v>
      </c>
      <c r="C131" s="50">
        <f>IF(C12&gt;60,5/C12,IF(C12&gt;48,4/C12,IF(C12&gt;36,3/C12,IF(C12&gt;24,2/C12,IF(C12&gt;12,1/C12,0)))))</f>
        <v>0.05</v>
      </c>
      <c r="D131" s="133">
        <f>SUM(D132:D136)</f>
        <v>98</v>
      </c>
    </row>
    <row r="132" spans="1:4" hidden="1" outlineLevel="3" x14ac:dyDescent="0.35">
      <c r="A132" s="138" t="s">
        <v>215</v>
      </c>
      <c r="B132" s="90" t="s">
        <v>216</v>
      </c>
      <c r="C132" s="139">
        <f>D39</f>
        <v>1516.17</v>
      </c>
      <c r="D132" s="140">
        <f>$C$131*(D39)-($C$131*(D39)*C137/3)</f>
        <v>75.81</v>
      </c>
    </row>
    <row r="133" spans="1:4" hidden="1" outlineLevel="3" x14ac:dyDescent="0.35">
      <c r="A133" s="138" t="s">
        <v>217</v>
      </c>
      <c r="B133" s="90" t="s">
        <v>218</v>
      </c>
      <c r="C133" s="139">
        <f>(D50)</f>
        <v>126.3</v>
      </c>
      <c r="D133" s="140">
        <f>$C$131*C133-($C$131*C133*C137/3)</f>
        <v>6.32</v>
      </c>
    </row>
    <row r="134" spans="1:4" hidden="1" outlineLevel="3" x14ac:dyDescent="0.35">
      <c r="A134" s="138" t="s">
        <v>219</v>
      </c>
      <c r="B134" s="90" t="s">
        <v>220</v>
      </c>
      <c r="C134" s="141">
        <f>(D39/12)+(D51*IF(C12&gt;60,((C12-60)*(1/60))+1,IF(C12&gt;48,((C12-48)*(1/48))+1,IF(C12&gt;36,((C12-36)*(1/36))+1,IF(C12&gt;24,((C12-24)*(1/24))+1,IF(C12&gt;12,((C12-12)*(1/12))+1,1))))))</f>
        <v>168.55</v>
      </c>
      <c r="D134" s="140">
        <f>$C$131*C134-($C$131*C134*C137/3)</f>
        <v>8.43</v>
      </c>
    </row>
    <row r="135" spans="1:4" hidden="1" outlineLevel="3" x14ac:dyDescent="0.35">
      <c r="A135" s="138" t="s">
        <v>221</v>
      </c>
      <c r="B135" s="90" t="s">
        <v>222</v>
      </c>
      <c r="C135" s="91">
        <f>C63</f>
        <v>0.36799999999999999</v>
      </c>
      <c r="D135" s="140">
        <f>SUM(D132:D134)*C131</f>
        <v>4.53</v>
      </c>
    </row>
    <row r="136" spans="1:4" hidden="1" outlineLevel="3" x14ac:dyDescent="0.35">
      <c r="A136" s="138" t="s">
        <v>223</v>
      </c>
      <c r="B136" s="90" t="s">
        <v>224</v>
      </c>
      <c r="C136" s="141">
        <f>D124</f>
        <v>58.18</v>
      </c>
      <c r="D136" s="140">
        <f>C136*C131</f>
        <v>2.91</v>
      </c>
    </row>
    <row r="137" spans="1:4" outlineLevel="2" collapsed="1" x14ac:dyDescent="0.35">
      <c r="A137" s="111" t="s">
        <v>16</v>
      </c>
      <c r="B137" s="31" t="s">
        <v>225</v>
      </c>
      <c r="C137" s="92">
        <v>0</v>
      </c>
      <c r="D137" s="124">
        <f>$C$131*(D39)*(C137/3)</f>
        <v>0</v>
      </c>
    </row>
    <row r="138" spans="1:4" outlineLevel="1" x14ac:dyDescent="0.35">
      <c r="A138" s="644" t="s">
        <v>226</v>
      </c>
      <c r="B138" s="645"/>
      <c r="C138" s="30">
        <f>C131+(D137/D39)</f>
        <v>0.05</v>
      </c>
      <c r="D138" s="116">
        <f>SUM(D131:D137)</f>
        <v>196</v>
      </c>
    </row>
    <row r="139" spans="1:4" outlineLevel="1" x14ac:dyDescent="0.35">
      <c r="A139" s="658"/>
      <c r="B139" s="659"/>
      <c r="C139" s="659"/>
      <c r="D139" s="660"/>
    </row>
    <row r="140" spans="1:4" outlineLevel="2" x14ac:dyDescent="0.35">
      <c r="A140" s="668" t="s">
        <v>227</v>
      </c>
      <c r="B140" s="142" t="s">
        <v>190</v>
      </c>
      <c r="C140" s="93">
        <v>220</v>
      </c>
      <c r="D140" s="143">
        <f>D39</f>
        <v>1516.17</v>
      </c>
    </row>
    <row r="141" spans="1:4" outlineLevel="2" x14ac:dyDescent="0.35">
      <c r="A141" s="669"/>
      <c r="B141" s="142" t="s">
        <v>228</v>
      </c>
      <c r="C141" s="50">
        <f>(1+(1/3)+1)/12</f>
        <v>0.19439999999999999</v>
      </c>
      <c r="D141" s="144">
        <f>D140*C141</f>
        <v>294.74</v>
      </c>
    </row>
    <row r="142" spans="1:4" outlineLevel="2" x14ac:dyDescent="0.35">
      <c r="A142" s="669"/>
      <c r="B142" s="142" t="s">
        <v>229</v>
      </c>
      <c r="C142" s="50">
        <f>C63</f>
        <v>0.36799999999999999</v>
      </c>
      <c r="D142" s="144">
        <f>(D140+D141)*C142</f>
        <v>666.41</v>
      </c>
    </row>
    <row r="143" spans="1:4" outlineLevel="2" x14ac:dyDescent="0.35">
      <c r="A143" s="669"/>
      <c r="B143" s="142" t="s">
        <v>230</v>
      </c>
      <c r="C143" s="50">
        <f>D143/D140</f>
        <v>0.3397</v>
      </c>
      <c r="D143" s="144">
        <f>D77</f>
        <v>515.04</v>
      </c>
    </row>
    <row r="144" spans="1:4" outlineLevel="2" x14ac:dyDescent="0.35">
      <c r="A144" s="670"/>
      <c r="B144" s="145" t="s">
        <v>231</v>
      </c>
      <c r="C144" s="50">
        <f>D144/D140</f>
        <v>3.8399999999999997E-2</v>
      </c>
      <c r="D144" s="144">
        <f>D124</f>
        <v>58.18</v>
      </c>
    </row>
    <row r="145" spans="1:4" outlineLevel="2" x14ac:dyDescent="0.35">
      <c r="A145" s="671" t="s">
        <v>232</v>
      </c>
      <c r="B145" s="672"/>
      <c r="C145" s="94">
        <f>D145/D140</f>
        <v>2.012</v>
      </c>
      <c r="D145" s="146">
        <f>SUM(D140:D144)</f>
        <v>3050.54</v>
      </c>
    </row>
    <row r="146" spans="1:4" outlineLevel="2" x14ac:dyDescent="0.35">
      <c r="A146" s="673"/>
      <c r="B146" s="673"/>
      <c r="C146" s="673"/>
      <c r="D146" s="674"/>
    </row>
    <row r="147" spans="1:4" outlineLevel="1" x14ac:dyDescent="0.35">
      <c r="A147" s="110" t="s">
        <v>233</v>
      </c>
      <c r="B147" s="117" t="s">
        <v>234</v>
      </c>
      <c r="C147" s="30" t="s">
        <v>44</v>
      </c>
      <c r="D147" s="110" t="s">
        <v>35</v>
      </c>
    </row>
    <row r="148" spans="1:4" outlineLevel="2" x14ac:dyDescent="0.35">
      <c r="A148" s="111" t="s">
        <v>16</v>
      </c>
      <c r="B148" s="31" t="s">
        <v>118</v>
      </c>
      <c r="C148" s="77">
        <f>5/252</f>
        <v>1.9800000000000002E-2</v>
      </c>
      <c r="D148" s="133">
        <f>C148*$D$145</f>
        <v>60.4</v>
      </c>
    </row>
    <row r="149" spans="1:4" outlineLevel="2" x14ac:dyDescent="0.35">
      <c r="A149" s="111" t="s">
        <v>17</v>
      </c>
      <c r="B149" s="31" t="s">
        <v>119</v>
      </c>
      <c r="C149" s="77">
        <f>1.383/252</f>
        <v>5.4999999999999997E-3</v>
      </c>
      <c r="D149" s="133">
        <f>C149*$D$145</f>
        <v>16.78</v>
      </c>
    </row>
    <row r="150" spans="1:4" outlineLevel="2" x14ac:dyDescent="0.35">
      <c r="A150" s="111" t="s">
        <v>19</v>
      </c>
      <c r="B150" s="31" t="s">
        <v>117</v>
      </c>
      <c r="C150" s="77">
        <f>1.3892/252</f>
        <v>5.4999999999999997E-3</v>
      </c>
      <c r="D150" s="133">
        <f t="shared" ref="D150:D153" si="1">C150*$D$145</f>
        <v>16.78</v>
      </c>
    </row>
    <row r="151" spans="1:4" outlineLevel="2" x14ac:dyDescent="0.35">
      <c r="A151" s="111" t="s">
        <v>22</v>
      </c>
      <c r="B151" s="31" t="s">
        <v>67</v>
      </c>
      <c r="C151" s="77">
        <f>0.65/252</f>
        <v>2.5999999999999999E-3</v>
      </c>
      <c r="D151" s="133">
        <f t="shared" si="1"/>
        <v>7.93</v>
      </c>
    </row>
    <row r="152" spans="1:4" outlineLevel="2" x14ac:dyDescent="0.35">
      <c r="A152" s="111" t="s">
        <v>24</v>
      </c>
      <c r="B152" s="31" t="s">
        <v>68</v>
      </c>
      <c r="C152" s="77">
        <f>0.5052/252</f>
        <v>2E-3</v>
      </c>
      <c r="D152" s="133">
        <f t="shared" si="1"/>
        <v>6.1</v>
      </c>
    </row>
    <row r="153" spans="1:4" outlineLevel="2" x14ac:dyDescent="0.35">
      <c r="A153" s="111" t="s">
        <v>36</v>
      </c>
      <c r="B153" s="61" t="s">
        <v>235</v>
      </c>
      <c r="C153" s="69">
        <f>0.2/252</f>
        <v>8.0000000000000004E-4</v>
      </c>
      <c r="D153" s="133">
        <f t="shared" si="1"/>
        <v>2.44</v>
      </c>
    </row>
    <row r="154" spans="1:4" outlineLevel="1" x14ac:dyDescent="0.35">
      <c r="A154" s="644" t="s">
        <v>226</v>
      </c>
      <c r="B154" s="645"/>
      <c r="C154" s="30">
        <f>SUM(C148:C153)</f>
        <v>3.6200000000000003E-2</v>
      </c>
      <c r="D154" s="116">
        <f>SUM(D148:D153)</f>
        <v>110.43</v>
      </c>
    </row>
    <row r="155" spans="1:4" outlineLevel="1" x14ac:dyDescent="0.35">
      <c r="A155" s="658"/>
      <c r="B155" s="659"/>
      <c r="C155" s="659"/>
      <c r="D155" s="660"/>
    </row>
    <row r="156" spans="1:4" outlineLevel="1" x14ac:dyDescent="0.35">
      <c r="A156" s="661" t="s">
        <v>236</v>
      </c>
      <c r="B156" s="666"/>
      <c r="C156" s="30" t="s">
        <v>237</v>
      </c>
      <c r="D156" s="110" t="s">
        <v>35</v>
      </c>
    </row>
    <row r="157" spans="1:4" outlineLevel="2" x14ac:dyDescent="0.4">
      <c r="A157" s="667" t="s">
        <v>238</v>
      </c>
      <c r="B157" s="142" t="s">
        <v>239</v>
      </c>
      <c r="C157" s="95">
        <f>C153</f>
        <v>8.0000000000000004E-4</v>
      </c>
      <c r="D157" s="147">
        <f>C157*-D140</f>
        <v>-1.21</v>
      </c>
    </row>
    <row r="158" spans="1:4" outlineLevel="2" x14ac:dyDescent="0.4">
      <c r="A158" s="667"/>
      <c r="B158" s="148" t="s">
        <v>240</v>
      </c>
      <c r="C158" s="96">
        <v>0</v>
      </c>
      <c r="D158" s="149">
        <f>C158*-(D140/220/24*5)</f>
        <v>0</v>
      </c>
    </row>
    <row r="159" spans="1:4" outlineLevel="2" x14ac:dyDescent="0.4">
      <c r="A159" s="667"/>
      <c r="B159" s="148" t="s">
        <v>241</v>
      </c>
      <c r="C159" s="96">
        <v>0</v>
      </c>
      <c r="D159" s="149">
        <f>C159*-D141</f>
        <v>0</v>
      </c>
    </row>
    <row r="160" spans="1:4" outlineLevel="2" x14ac:dyDescent="0.4">
      <c r="A160" s="667"/>
      <c r="B160" s="142" t="s">
        <v>242</v>
      </c>
      <c r="C160" s="95">
        <f>C154</f>
        <v>3.6200000000000003E-2</v>
      </c>
      <c r="D160" s="147">
        <f>C160*-D66</f>
        <v>-3.49</v>
      </c>
    </row>
    <row r="161" spans="1:4" outlineLevel="2" x14ac:dyDescent="0.4">
      <c r="A161" s="667"/>
      <c r="B161" s="142" t="s">
        <v>243</v>
      </c>
      <c r="C161" s="95">
        <f>C154</f>
        <v>3.6200000000000003E-2</v>
      </c>
      <c r="D161" s="147">
        <f>C161*-D69</f>
        <v>-10.5</v>
      </c>
    </row>
    <row r="162" spans="1:4" outlineLevel="2" x14ac:dyDescent="0.4">
      <c r="A162" s="667"/>
      <c r="B162" s="145" t="s">
        <v>244</v>
      </c>
      <c r="C162" s="95">
        <f>C153</f>
        <v>8.0000000000000004E-4</v>
      </c>
      <c r="D162" s="147">
        <f>C162*-D74</f>
        <v>-0.02</v>
      </c>
    </row>
    <row r="163" spans="1:4" outlineLevel="2" x14ac:dyDescent="0.35">
      <c r="A163" s="667"/>
      <c r="B163" s="145" t="s">
        <v>245</v>
      </c>
      <c r="C163" s="97">
        <f>C152</f>
        <v>2E-3</v>
      </c>
      <c r="D163" s="133">
        <f>C163*-SUM(D55:D61)</f>
        <v>-0.96</v>
      </c>
    </row>
    <row r="164" spans="1:4" outlineLevel="2" x14ac:dyDescent="0.4">
      <c r="A164" s="667"/>
      <c r="B164" s="142" t="s">
        <v>246</v>
      </c>
      <c r="C164" s="95">
        <f>C153</f>
        <v>8.0000000000000004E-4</v>
      </c>
      <c r="D164" s="147">
        <f>C164*-D142</f>
        <v>-0.53</v>
      </c>
    </row>
    <row r="165" spans="1:4" outlineLevel="1" x14ac:dyDescent="0.35">
      <c r="A165" s="644" t="s">
        <v>247</v>
      </c>
      <c r="B165" s="645"/>
      <c r="C165" s="30">
        <f>D165/D140</f>
        <v>-1.0999999999999999E-2</v>
      </c>
      <c r="D165" s="116">
        <f>SUM(D157:D164)</f>
        <v>-16.71</v>
      </c>
    </row>
    <row r="166" spans="1:4" outlineLevel="1" x14ac:dyDescent="0.35">
      <c r="A166" s="658"/>
      <c r="B166" s="659"/>
      <c r="C166" s="659"/>
      <c r="D166" s="660"/>
    </row>
    <row r="167" spans="1:4" outlineLevel="1" x14ac:dyDescent="0.35">
      <c r="A167" s="644" t="s">
        <v>248</v>
      </c>
      <c r="B167" s="645"/>
      <c r="C167" s="30">
        <f>D167/D140</f>
        <v>6.1800000000000001E-2</v>
      </c>
      <c r="D167" s="116">
        <f>D154+D165</f>
        <v>93.72</v>
      </c>
    </row>
    <row r="168" spans="1:4" outlineLevel="1" x14ac:dyDescent="0.35">
      <c r="A168" s="658"/>
      <c r="B168" s="659"/>
      <c r="C168" s="659"/>
      <c r="D168" s="660"/>
    </row>
    <row r="169" spans="1:4" outlineLevel="1" x14ac:dyDescent="0.35">
      <c r="A169" s="661" t="s">
        <v>249</v>
      </c>
      <c r="B169" s="662"/>
      <c r="C169" s="110" t="s">
        <v>44</v>
      </c>
      <c r="D169" s="110" t="s">
        <v>35</v>
      </c>
    </row>
    <row r="170" spans="1:4" outlineLevel="1" x14ac:dyDescent="0.35">
      <c r="A170" s="111" t="s">
        <v>65</v>
      </c>
      <c r="B170" s="31" t="s">
        <v>214</v>
      </c>
      <c r="C170" s="34"/>
      <c r="D170" s="150">
        <f>D138</f>
        <v>196</v>
      </c>
    </row>
    <row r="171" spans="1:4" outlineLevel="1" x14ac:dyDescent="0.35">
      <c r="A171" s="111" t="s">
        <v>233</v>
      </c>
      <c r="B171" s="31" t="s">
        <v>234</v>
      </c>
      <c r="C171" s="34"/>
      <c r="D171" s="150">
        <f>D167</f>
        <v>93.72</v>
      </c>
    </row>
    <row r="172" spans="1:4" x14ac:dyDescent="0.35">
      <c r="A172" s="644" t="s">
        <v>11</v>
      </c>
      <c r="B172" s="657"/>
      <c r="C172" s="645"/>
      <c r="D172" s="119">
        <f>SUM(D170:D171)</f>
        <v>289.72000000000003</v>
      </c>
    </row>
    <row r="173" spans="1:4" x14ac:dyDescent="0.35">
      <c r="A173" s="658"/>
      <c r="B173" s="659"/>
      <c r="C173" s="659"/>
      <c r="D173" s="660"/>
    </row>
    <row r="174" spans="1:4" x14ac:dyDescent="0.35">
      <c r="A174" s="663" t="s">
        <v>69</v>
      </c>
      <c r="B174" s="664"/>
      <c r="C174" s="664"/>
      <c r="D174" s="665"/>
    </row>
    <row r="175" spans="1:4" outlineLevel="1" x14ac:dyDescent="0.35">
      <c r="A175" s="658"/>
      <c r="B175" s="659"/>
      <c r="C175" s="659"/>
      <c r="D175" s="660"/>
    </row>
    <row r="176" spans="1:4" outlineLevel="1" x14ac:dyDescent="0.35">
      <c r="A176" s="64">
        <v>5</v>
      </c>
      <c r="B176" s="644" t="s">
        <v>250</v>
      </c>
      <c r="C176" s="645"/>
      <c r="D176" s="110" t="s">
        <v>35</v>
      </c>
    </row>
    <row r="177" spans="1:4" outlineLevel="1" x14ac:dyDescent="0.35">
      <c r="A177" s="111" t="s">
        <v>36</v>
      </c>
      <c r="B177" s="655" t="s">
        <v>343</v>
      </c>
      <c r="C177" s="656"/>
      <c r="D177" s="133">
        <f>INSUMOS!H12</f>
        <v>25.07</v>
      </c>
    </row>
    <row r="178" spans="1:4" outlineLevel="1" x14ac:dyDescent="0.35">
      <c r="A178" s="111" t="s">
        <v>16</v>
      </c>
      <c r="B178" s="655" t="s">
        <v>369</v>
      </c>
      <c r="C178" s="656"/>
      <c r="D178" s="151">
        <f>INSUMOS!H32</f>
        <v>41.35</v>
      </c>
    </row>
    <row r="179" spans="1:4" outlineLevel="1" x14ac:dyDescent="0.35">
      <c r="A179" s="111" t="s">
        <v>17</v>
      </c>
      <c r="B179" s="640" t="s">
        <v>326</v>
      </c>
      <c r="C179" s="642"/>
      <c r="D179" s="151">
        <f>MATERIAIS!I125</f>
        <v>423.82</v>
      </c>
    </row>
    <row r="180" spans="1:4" outlineLevel="1" x14ac:dyDescent="0.35">
      <c r="A180" s="111" t="s">
        <v>19</v>
      </c>
      <c r="B180" s="640" t="s">
        <v>325</v>
      </c>
      <c r="C180" s="642"/>
      <c r="D180" s="151">
        <f>EQUIPAMENTOS!J134</f>
        <v>12.24</v>
      </c>
    </row>
    <row r="181" spans="1:4" outlineLevel="1" x14ac:dyDescent="0.35">
      <c r="A181" s="111" t="s">
        <v>22</v>
      </c>
      <c r="B181" s="705" t="s">
        <v>39</v>
      </c>
      <c r="C181" s="706"/>
      <c r="D181" s="130">
        <v>0</v>
      </c>
    </row>
    <row r="182" spans="1:4" outlineLevel="1" x14ac:dyDescent="0.35">
      <c r="A182" s="111" t="s">
        <v>24</v>
      </c>
      <c r="B182" s="705" t="s">
        <v>39</v>
      </c>
      <c r="C182" s="706"/>
      <c r="D182" s="130">
        <v>0</v>
      </c>
    </row>
    <row r="183" spans="1:4" x14ac:dyDescent="0.35">
      <c r="A183" s="644" t="s">
        <v>11</v>
      </c>
      <c r="B183" s="657"/>
      <c r="C183" s="645"/>
      <c r="D183" s="116">
        <f>SUM(D177:D181)</f>
        <v>502.48</v>
      </c>
    </row>
    <row r="184" spans="1:4" x14ac:dyDescent="0.35">
      <c r="A184" s="646"/>
      <c r="B184" s="647"/>
      <c r="C184" s="647"/>
      <c r="D184" s="648"/>
    </row>
    <row r="185" spans="1:4" x14ac:dyDescent="0.35">
      <c r="A185" s="649" t="s">
        <v>70</v>
      </c>
      <c r="B185" s="649"/>
      <c r="C185" s="649"/>
      <c r="D185" s="152">
        <f>D39+D83+D126+D172+D183</f>
        <v>3714.28</v>
      </c>
    </row>
    <row r="186" spans="1:4" x14ac:dyDescent="0.35">
      <c r="A186" s="650"/>
      <c r="B186" s="650"/>
      <c r="C186" s="650"/>
      <c r="D186" s="650"/>
    </row>
    <row r="187" spans="1:4" x14ac:dyDescent="0.35">
      <c r="A187" s="651" t="s">
        <v>71</v>
      </c>
      <c r="B187" s="651"/>
      <c r="C187" s="651"/>
      <c r="D187" s="651"/>
    </row>
    <row r="188" spans="1:4" outlineLevel="1" x14ac:dyDescent="0.35">
      <c r="A188" s="652"/>
      <c r="B188" s="653"/>
      <c r="C188" s="653"/>
      <c r="D188" s="654"/>
    </row>
    <row r="189" spans="1:4" outlineLevel="1" x14ac:dyDescent="0.35">
      <c r="A189" s="64">
        <v>6</v>
      </c>
      <c r="B189" s="117" t="s">
        <v>72</v>
      </c>
      <c r="C189" s="110" t="s">
        <v>44</v>
      </c>
      <c r="D189" s="110" t="s">
        <v>35</v>
      </c>
    </row>
    <row r="190" spans="1:4" outlineLevel="1" x14ac:dyDescent="0.35">
      <c r="A190" s="111" t="s">
        <v>36</v>
      </c>
      <c r="B190" s="31" t="s">
        <v>73</v>
      </c>
      <c r="C190" s="70">
        <f>'SR - ASG int'!C189</f>
        <v>2.6499999999999999E-2</v>
      </c>
      <c r="D190" s="105">
        <f>C190*D185</f>
        <v>98.43</v>
      </c>
    </row>
    <row r="191" spans="1:4" outlineLevel="1" x14ac:dyDescent="0.35">
      <c r="A191" s="638" t="s">
        <v>1</v>
      </c>
      <c r="B191" s="639"/>
      <c r="C191" s="643"/>
      <c r="D191" s="105">
        <f>D185+D190</f>
        <v>3812.71</v>
      </c>
    </row>
    <row r="192" spans="1:4" outlineLevel="1" x14ac:dyDescent="0.35">
      <c r="A192" s="111" t="s">
        <v>16</v>
      </c>
      <c r="B192" s="31" t="s">
        <v>74</v>
      </c>
      <c r="C192" s="70">
        <f>'SR - ASG int'!C191</f>
        <v>0.1087</v>
      </c>
      <c r="D192" s="105">
        <f>C192*D191</f>
        <v>414.44</v>
      </c>
    </row>
    <row r="193" spans="1:4" outlineLevel="1" x14ac:dyDescent="0.35">
      <c r="A193" s="638" t="s">
        <v>1</v>
      </c>
      <c r="B193" s="639"/>
      <c r="C193" s="639"/>
      <c r="D193" s="105">
        <f>D192+D191</f>
        <v>4227.1499999999996</v>
      </c>
    </row>
    <row r="194" spans="1:4" outlineLevel="1" x14ac:dyDescent="0.35">
      <c r="A194" s="111" t="s">
        <v>17</v>
      </c>
      <c r="B194" s="640" t="s">
        <v>75</v>
      </c>
      <c r="C194" s="641"/>
      <c r="D194" s="642"/>
    </row>
    <row r="195" spans="1:4" outlineLevel="1" x14ac:dyDescent="0.35">
      <c r="A195" s="153"/>
      <c r="B195" s="63" t="s">
        <v>76</v>
      </c>
      <c r="C195" s="70">
        <v>6.4999999999999997E-3</v>
      </c>
      <c r="D195" s="105">
        <f>(D193/(1-C198)*C195)</f>
        <v>29.43</v>
      </c>
    </row>
    <row r="196" spans="1:4" outlineLevel="1" x14ac:dyDescent="0.35">
      <c r="A196" s="153"/>
      <c r="B196" s="63" t="s">
        <v>77</v>
      </c>
      <c r="C196" s="70">
        <v>0.03</v>
      </c>
      <c r="D196" s="105">
        <f>(D193/(1-C198)*C196)</f>
        <v>135.85</v>
      </c>
    </row>
    <row r="197" spans="1:4" outlineLevel="1" x14ac:dyDescent="0.35">
      <c r="A197" s="153"/>
      <c r="B197" s="63" t="s">
        <v>296</v>
      </c>
      <c r="C197" s="51">
        <v>0.03</v>
      </c>
      <c r="D197" s="105">
        <f>(D193/(1-C198)*C197)</f>
        <v>135.85</v>
      </c>
    </row>
    <row r="198" spans="1:4" outlineLevel="1" x14ac:dyDescent="0.35">
      <c r="A198" s="638" t="s">
        <v>78</v>
      </c>
      <c r="B198" s="643"/>
      <c r="C198" s="52">
        <f>SUM(C195:C197)</f>
        <v>6.6500000000000004E-2</v>
      </c>
      <c r="D198" s="105">
        <f>SUM(D195:D197)</f>
        <v>301.13</v>
      </c>
    </row>
    <row r="199" spans="1:4" x14ac:dyDescent="0.35">
      <c r="A199" s="644" t="s">
        <v>11</v>
      </c>
      <c r="B199" s="645"/>
      <c r="C199" s="53">
        <f>(1+C190)*(1+C192)*(1/(1-C198))-1</f>
        <v>0.21920000000000001</v>
      </c>
      <c r="D199" s="108">
        <f>SUM(D198+D190+D192)</f>
        <v>814</v>
      </c>
    </row>
    <row r="200" spans="1:4" x14ac:dyDescent="0.35">
      <c r="A200" s="646"/>
      <c r="B200" s="647"/>
      <c r="C200" s="647"/>
      <c r="D200" s="648"/>
    </row>
    <row r="201" spans="1:4" x14ac:dyDescent="0.35">
      <c r="A201" s="634" t="s">
        <v>79</v>
      </c>
      <c r="B201" s="635"/>
      <c r="C201" s="636"/>
      <c r="D201" s="54" t="s">
        <v>35</v>
      </c>
    </row>
    <row r="202" spans="1:4" x14ac:dyDescent="0.35">
      <c r="A202" s="632" t="s">
        <v>80</v>
      </c>
      <c r="B202" s="637"/>
      <c r="C202" s="637"/>
      <c r="D202" s="633"/>
    </row>
    <row r="203" spans="1:4" x14ac:dyDescent="0.35">
      <c r="A203" s="65" t="s">
        <v>36</v>
      </c>
      <c r="B203" s="632" t="s">
        <v>81</v>
      </c>
      <c r="C203" s="633"/>
      <c r="D203" s="104">
        <f>D39</f>
        <v>1516.17</v>
      </c>
    </row>
    <row r="204" spans="1:4" x14ac:dyDescent="0.35">
      <c r="A204" s="65" t="s">
        <v>16</v>
      </c>
      <c r="B204" s="632" t="s">
        <v>82</v>
      </c>
      <c r="C204" s="633"/>
      <c r="D204" s="104">
        <f>D83</f>
        <v>1280.4100000000001</v>
      </c>
    </row>
    <row r="205" spans="1:4" x14ac:dyDescent="0.35">
      <c r="A205" s="65" t="s">
        <v>17</v>
      </c>
      <c r="B205" s="632" t="s">
        <v>83</v>
      </c>
      <c r="C205" s="633"/>
      <c r="D205" s="104">
        <f>D126</f>
        <v>125.5</v>
      </c>
    </row>
    <row r="206" spans="1:4" x14ac:dyDescent="0.35">
      <c r="A206" s="65" t="s">
        <v>19</v>
      </c>
      <c r="B206" s="632" t="s">
        <v>84</v>
      </c>
      <c r="C206" s="633"/>
      <c r="D206" s="104">
        <f>D172</f>
        <v>289.72000000000003</v>
      </c>
    </row>
    <row r="207" spans="1:4" x14ac:dyDescent="0.35">
      <c r="A207" s="65" t="s">
        <v>22</v>
      </c>
      <c r="B207" s="632" t="s">
        <v>85</v>
      </c>
      <c r="C207" s="633"/>
      <c r="D207" s="104">
        <f>D183</f>
        <v>502.48</v>
      </c>
    </row>
    <row r="208" spans="1:4" x14ac:dyDescent="0.4">
      <c r="A208" s="629" t="s">
        <v>86</v>
      </c>
      <c r="B208" s="630"/>
      <c r="C208" s="631"/>
      <c r="D208" s="104">
        <f>SUM(D203:D207)</f>
        <v>3714.28</v>
      </c>
    </row>
    <row r="209" spans="1:4" x14ac:dyDescent="0.35">
      <c r="A209" s="65" t="s">
        <v>87</v>
      </c>
      <c r="B209" s="632" t="s">
        <v>88</v>
      </c>
      <c r="C209" s="633"/>
      <c r="D209" s="104">
        <f>D199</f>
        <v>814</v>
      </c>
    </row>
    <row r="210" spans="1:4" x14ac:dyDescent="0.35">
      <c r="A210" s="634" t="s">
        <v>89</v>
      </c>
      <c r="B210" s="635"/>
      <c r="C210" s="636"/>
      <c r="D210" s="154">
        <f xml:space="preserve"> D208+D209</f>
        <v>4528.28</v>
      </c>
    </row>
    <row r="211" spans="1:4" x14ac:dyDescent="0.4">
      <c r="A211" s="24"/>
      <c r="B211" s="24"/>
      <c r="C211" s="24"/>
      <c r="D211" s="24"/>
    </row>
    <row r="212" spans="1:4" thickBot="1" x14ac:dyDescent="0.4">
      <c r="A212" s="17"/>
      <c r="B212" s="17"/>
      <c r="C212" s="17"/>
      <c r="D212" s="17"/>
    </row>
    <row r="213" spans="1:4" x14ac:dyDescent="0.35">
      <c r="A213" s="702" t="s">
        <v>274</v>
      </c>
      <c r="B213" s="703"/>
      <c r="C213" s="703"/>
      <c r="D213" s="704"/>
    </row>
    <row r="214" spans="1:4" ht="30" x14ac:dyDescent="0.35">
      <c r="A214" s="170" t="s">
        <v>275</v>
      </c>
      <c r="B214" s="171" t="s">
        <v>278</v>
      </c>
      <c r="C214" s="172" t="s">
        <v>276</v>
      </c>
      <c r="D214" s="173" t="s">
        <v>277</v>
      </c>
    </row>
    <row r="215" spans="1:4" ht="15.5" thickBot="1" x14ac:dyDescent="0.4">
      <c r="A215" s="174">
        <v>1</v>
      </c>
      <c r="B215" s="178">
        <f>1/(C11/A215)</f>
        <v>1.2594458438E-3</v>
      </c>
      <c r="C215" s="175">
        <f>D210</f>
        <v>4528.28</v>
      </c>
      <c r="D215" s="181">
        <f>C215*B215</f>
        <v>5.7031234260000003</v>
      </c>
    </row>
  </sheetData>
  <mergeCells count="108">
    <mergeCell ref="B206:C206"/>
    <mergeCell ref="B207:C207"/>
    <mergeCell ref="A208:C208"/>
    <mergeCell ref="B209:C209"/>
    <mergeCell ref="A210:C210"/>
    <mergeCell ref="A213:D213"/>
    <mergeCell ref="A200:D200"/>
    <mergeCell ref="A201:C201"/>
    <mergeCell ref="A202:D202"/>
    <mergeCell ref="B203:C203"/>
    <mergeCell ref="B204:C204"/>
    <mergeCell ref="B205:C205"/>
    <mergeCell ref="A188:D188"/>
    <mergeCell ref="A191:C191"/>
    <mergeCell ref="A193:C193"/>
    <mergeCell ref="B194:D194"/>
    <mergeCell ref="A198:B198"/>
    <mergeCell ref="A199:B199"/>
    <mergeCell ref="B182:C182"/>
    <mergeCell ref="A183:C183"/>
    <mergeCell ref="A184:D184"/>
    <mergeCell ref="A185:C185"/>
    <mergeCell ref="A186:D186"/>
    <mergeCell ref="A187:D187"/>
    <mergeCell ref="B176:C176"/>
    <mergeCell ref="B177:C177"/>
    <mergeCell ref="B178:C178"/>
    <mergeCell ref="B179:C179"/>
    <mergeCell ref="B180:C180"/>
    <mergeCell ref="B181:C181"/>
    <mergeCell ref="A168:D168"/>
    <mergeCell ref="A169:B169"/>
    <mergeCell ref="A172:C172"/>
    <mergeCell ref="A173:D173"/>
    <mergeCell ref="A174:D174"/>
    <mergeCell ref="A175:D175"/>
    <mergeCell ref="A155:D155"/>
    <mergeCell ref="A156:B156"/>
    <mergeCell ref="A157:A164"/>
    <mergeCell ref="A165:B165"/>
    <mergeCell ref="A166:D166"/>
    <mergeCell ref="A167:B167"/>
    <mergeCell ref="A138:B138"/>
    <mergeCell ref="A139:D139"/>
    <mergeCell ref="A140:A144"/>
    <mergeCell ref="A145:B145"/>
    <mergeCell ref="A146:D146"/>
    <mergeCell ref="A154:B154"/>
    <mergeCell ref="A123:B123"/>
    <mergeCell ref="A124:B124"/>
    <mergeCell ref="A126:B126"/>
    <mergeCell ref="A127:D127"/>
    <mergeCell ref="A128:D128"/>
    <mergeCell ref="A129:D129"/>
    <mergeCell ref="A112:D112"/>
    <mergeCell ref="A116:B116"/>
    <mergeCell ref="A117:D117"/>
    <mergeCell ref="A118:B118"/>
    <mergeCell ref="A121:C121"/>
    <mergeCell ref="A122:B122"/>
    <mergeCell ref="A84:D84"/>
    <mergeCell ref="A85:D85"/>
    <mergeCell ref="A86:D86"/>
    <mergeCell ref="A99:B99"/>
    <mergeCell ref="A100:D100"/>
    <mergeCell ref="A111:B111"/>
    <mergeCell ref="A63:B63"/>
    <mergeCell ref="A64:D64"/>
    <mergeCell ref="A77:C77"/>
    <mergeCell ref="A78:D78"/>
    <mergeCell ref="A79:B79"/>
    <mergeCell ref="A83:C83"/>
    <mergeCell ref="A45:B45"/>
    <mergeCell ref="A46:D46"/>
    <mergeCell ref="A47:D47"/>
    <mergeCell ref="A48:D48"/>
    <mergeCell ref="A52:B52"/>
    <mergeCell ref="A53:D53"/>
    <mergeCell ref="A23:D23"/>
    <mergeCell ref="A24:D24"/>
    <mergeCell ref="A25:D25"/>
    <mergeCell ref="B26:C26"/>
    <mergeCell ref="A39:C39"/>
    <mergeCell ref="A40:D40"/>
    <mergeCell ref="C17:D17"/>
    <mergeCell ref="A18:D18"/>
    <mergeCell ref="B19:C19"/>
    <mergeCell ref="B20:C20"/>
    <mergeCell ref="B21:C21"/>
    <mergeCell ref="B22:C22"/>
    <mergeCell ref="C11:D11"/>
    <mergeCell ref="C12:D12"/>
    <mergeCell ref="A13:D13"/>
    <mergeCell ref="A14:D14"/>
    <mergeCell ref="A15:D15"/>
    <mergeCell ref="C16:D16"/>
    <mergeCell ref="A5:D5"/>
    <mergeCell ref="C6:D6"/>
    <mergeCell ref="C7:D7"/>
    <mergeCell ref="C8:D8"/>
    <mergeCell ref="C9:D9"/>
    <mergeCell ref="C10:D10"/>
    <mergeCell ref="A1:D1"/>
    <mergeCell ref="A2:B2"/>
    <mergeCell ref="C2:D2"/>
    <mergeCell ref="A3:B3"/>
    <mergeCell ref="C3:D3"/>
    <mergeCell ref="A4:D4"/>
  </mergeCells>
  <pageMargins left="0.51181102362204722" right="0.51181102362204722" top="0.78740157480314965" bottom="0.78740157480314965" header="0.31496062992125984" footer="0.31496062992125984"/>
  <pageSetup scale="22" orientation="portrait" horizontalDpi="30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483012-4C97-47DF-BA7A-F886E8DDB76F}">
  <sheetPr>
    <pageSetUpPr fitToPage="1"/>
  </sheetPr>
  <dimension ref="A1:D215"/>
  <sheetViews>
    <sheetView view="pageBreakPreview" topLeftCell="A185" zoomScale="85" zoomScaleNormal="85" zoomScaleSheetLayoutView="85" workbookViewId="0">
      <selection activeCell="A216" sqref="A216"/>
    </sheetView>
  </sheetViews>
  <sheetFormatPr defaultColWidth="9.1796875" defaultRowHeight="15" customHeight="1" outlineLevelRow="3" x14ac:dyDescent="0.35"/>
  <cols>
    <col min="1" max="1" width="16.7265625" customWidth="1"/>
    <col min="2" max="2" width="76.81640625" customWidth="1"/>
    <col min="3" max="3" width="22.81640625" customWidth="1"/>
    <col min="4" max="4" width="23.54296875" customWidth="1"/>
  </cols>
  <sheetData>
    <row r="1" spans="1:4" x14ac:dyDescent="0.35">
      <c r="A1" s="683" t="s">
        <v>6</v>
      </c>
      <c r="B1" s="683"/>
      <c r="C1" s="683"/>
      <c r="D1" s="683"/>
    </row>
    <row r="2" spans="1:4" x14ac:dyDescent="0.35">
      <c r="A2" s="684" t="s">
        <v>12</v>
      </c>
      <c r="B2" s="684"/>
      <c r="C2" s="685" t="s">
        <v>519</v>
      </c>
      <c r="D2" s="686"/>
    </row>
    <row r="3" spans="1:4" x14ac:dyDescent="0.35">
      <c r="A3" s="684" t="s">
        <v>13</v>
      </c>
      <c r="B3" s="684"/>
      <c r="C3" s="685" t="s">
        <v>520</v>
      </c>
      <c r="D3" s="686"/>
    </row>
    <row r="4" spans="1:4" x14ac:dyDescent="0.35">
      <c r="A4" s="687"/>
      <c r="B4" s="687"/>
      <c r="C4" s="687"/>
      <c r="D4" s="687"/>
    </row>
    <row r="5" spans="1:4" x14ac:dyDescent="0.35">
      <c r="A5" s="687" t="s">
        <v>14</v>
      </c>
      <c r="B5" s="687"/>
      <c r="C5" s="687"/>
      <c r="D5" s="687"/>
    </row>
    <row r="6" spans="1:4" x14ac:dyDescent="0.35">
      <c r="A6" s="65" t="s">
        <v>15</v>
      </c>
      <c r="B6" s="63" t="s">
        <v>5</v>
      </c>
      <c r="C6" s="707" t="s">
        <v>144</v>
      </c>
      <c r="D6" s="708"/>
    </row>
    <row r="7" spans="1:4" x14ac:dyDescent="0.35">
      <c r="A7" s="65" t="s">
        <v>16</v>
      </c>
      <c r="B7" s="63" t="s">
        <v>4</v>
      </c>
      <c r="C7" s="690" t="s">
        <v>503</v>
      </c>
      <c r="D7" s="690"/>
    </row>
    <row r="8" spans="1:4" x14ac:dyDescent="0.35">
      <c r="A8" s="25" t="s">
        <v>17</v>
      </c>
      <c r="B8" s="26" t="s">
        <v>18</v>
      </c>
      <c r="C8" s="722" t="s">
        <v>521</v>
      </c>
      <c r="D8" s="723"/>
    </row>
    <row r="9" spans="1:4" x14ac:dyDescent="0.35">
      <c r="A9" s="65" t="s">
        <v>19</v>
      </c>
      <c r="B9" s="63" t="s">
        <v>20</v>
      </c>
      <c r="C9" s="700" t="s">
        <v>21</v>
      </c>
      <c r="D9" s="701"/>
    </row>
    <row r="10" spans="1:4" x14ac:dyDescent="0.35">
      <c r="A10" s="65" t="s">
        <v>22</v>
      </c>
      <c r="B10" s="63" t="s">
        <v>23</v>
      </c>
      <c r="C10" s="700" t="s">
        <v>262</v>
      </c>
      <c r="D10" s="701"/>
    </row>
    <row r="11" spans="1:4" x14ac:dyDescent="0.35">
      <c r="A11" s="65" t="s">
        <v>24</v>
      </c>
      <c r="B11" s="63" t="s">
        <v>251</v>
      </c>
      <c r="C11" s="691">
        <f>Resumo!F13</f>
        <v>794</v>
      </c>
      <c r="D11" s="692"/>
    </row>
    <row r="12" spans="1:4" x14ac:dyDescent="0.35">
      <c r="A12" s="65" t="s">
        <v>25</v>
      </c>
      <c r="B12" s="63" t="s">
        <v>26</v>
      </c>
      <c r="C12" s="693">
        <f>Resumo!I5</f>
        <v>20</v>
      </c>
      <c r="D12" s="694"/>
    </row>
    <row r="13" spans="1:4" x14ac:dyDescent="0.35">
      <c r="A13" s="695"/>
      <c r="B13" s="696"/>
      <c r="C13" s="696"/>
      <c r="D13" s="696"/>
    </row>
    <row r="14" spans="1:4" x14ac:dyDescent="0.35">
      <c r="A14" s="697" t="s">
        <v>27</v>
      </c>
      <c r="B14" s="698"/>
      <c r="C14" s="698"/>
      <c r="D14" s="699"/>
    </row>
    <row r="15" spans="1:4" x14ac:dyDescent="0.35">
      <c r="A15" s="690" t="s">
        <v>28</v>
      </c>
      <c r="B15" s="690"/>
      <c r="C15" s="690"/>
      <c r="D15" s="690"/>
    </row>
    <row r="16" spans="1:4" x14ac:dyDescent="0.35">
      <c r="A16" s="65">
        <v>1</v>
      </c>
      <c r="B16" s="63" t="s">
        <v>29</v>
      </c>
      <c r="C16" s="700" t="s">
        <v>266</v>
      </c>
      <c r="D16" s="701" t="s">
        <v>0</v>
      </c>
    </row>
    <row r="17" spans="1:4" x14ac:dyDescent="0.35">
      <c r="A17" s="65">
        <v>2</v>
      </c>
      <c r="B17" s="27" t="s">
        <v>30</v>
      </c>
      <c r="C17" s="688" t="s">
        <v>263</v>
      </c>
      <c r="D17" s="689"/>
    </row>
    <row r="18" spans="1:4" x14ac:dyDescent="0.35">
      <c r="A18" s="690" t="s">
        <v>31</v>
      </c>
      <c r="B18" s="690"/>
      <c r="C18" s="690"/>
      <c r="D18" s="690"/>
    </row>
    <row r="19" spans="1:4" x14ac:dyDescent="0.4">
      <c r="A19" s="65">
        <v>3</v>
      </c>
      <c r="B19" s="632" t="s">
        <v>3</v>
      </c>
      <c r="C19" s="633"/>
      <c r="D19" s="103">
        <v>1325</v>
      </c>
    </row>
    <row r="20" spans="1:4" x14ac:dyDescent="0.4">
      <c r="A20" s="65">
        <v>4</v>
      </c>
      <c r="B20" s="632" t="s">
        <v>252</v>
      </c>
      <c r="C20" s="633"/>
      <c r="D20" s="155">
        <v>220</v>
      </c>
    </row>
    <row r="21" spans="1:4" x14ac:dyDescent="0.35">
      <c r="A21" s="65">
        <v>5</v>
      </c>
      <c r="B21" s="632" t="s">
        <v>32</v>
      </c>
      <c r="C21" s="633"/>
      <c r="D21" s="73" t="s">
        <v>267</v>
      </c>
    </row>
    <row r="22" spans="1:4" x14ac:dyDescent="0.35">
      <c r="A22" s="65">
        <v>6</v>
      </c>
      <c r="B22" s="632" t="s">
        <v>2</v>
      </c>
      <c r="C22" s="633"/>
      <c r="D22" s="74">
        <v>44562</v>
      </c>
    </row>
    <row r="23" spans="1:4" x14ac:dyDescent="0.35">
      <c r="A23" s="700"/>
      <c r="B23" s="711"/>
      <c r="C23" s="711"/>
      <c r="D23" s="701"/>
    </row>
    <row r="24" spans="1:4" x14ac:dyDescent="0.35">
      <c r="A24" s="712" t="s">
        <v>33</v>
      </c>
      <c r="B24" s="712"/>
      <c r="C24" s="712"/>
      <c r="D24" s="712"/>
    </row>
    <row r="25" spans="1:4" x14ac:dyDescent="0.35">
      <c r="A25" s="713"/>
      <c r="B25" s="714"/>
      <c r="C25" s="714"/>
      <c r="D25" s="694"/>
    </row>
    <row r="26" spans="1:4" x14ac:dyDescent="0.35">
      <c r="A26" s="64">
        <v>1</v>
      </c>
      <c r="B26" s="634" t="s">
        <v>34</v>
      </c>
      <c r="C26" s="636"/>
      <c r="D26" s="64" t="s">
        <v>35</v>
      </c>
    </row>
    <row r="27" spans="1:4" outlineLevel="1" x14ac:dyDescent="0.35">
      <c r="A27" s="65" t="s">
        <v>36</v>
      </c>
      <c r="B27" s="63" t="s">
        <v>146</v>
      </c>
      <c r="C27" s="71">
        <f>'SR - ASG int'!C27</f>
        <v>220</v>
      </c>
      <c r="D27" s="104">
        <f>D19/220*C27</f>
        <v>1325</v>
      </c>
    </row>
    <row r="28" spans="1:4" outlineLevel="1" x14ac:dyDescent="0.35">
      <c r="A28" s="65" t="s">
        <v>16</v>
      </c>
      <c r="B28" s="63" t="s">
        <v>37</v>
      </c>
      <c r="C28" s="28">
        <v>0.1</v>
      </c>
      <c r="D28" s="104">
        <f>D27*10%</f>
        <v>132.5</v>
      </c>
    </row>
    <row r="29" spans="1:4" outlineLevel="1" x14ac:dyDescent="0.35">
      <c r="A29" s="65" t="s">
        <v>17</v>
      </c>
      <c r="B29" s="63" t="s">
        <v>38</v>
      </c>
      <c r="C29" s="28">
        <v>0.4</v>
      </c>
      <c r="D29" s="104">
        <v>0</v>
      </c>
    </row>
    <row r="30" spans="1:4" outlineLevel="1" x14ac:dyDescent="0.35">
      <c r="A30" s="65" t="s">
        <v>19</v>
      </c>
      <c r="B30" s="63" t="s">
        <v>148</v>
      </c>
      <c r="C30" s="156">
        <v>0</v>
      </c>
      <c r="D30" s="105">
        <f>SUM(D31:D32)</f>
        <v>0</v>
      </c>
    </row>
    <row r="31" spans="1:4" outlineLevel="2" x14ac:dyDescent="0.35">
      <c r="A31" s="78" t="s">
        <v>111</v>
      </c>
      <c r="B31" s="63" t="s">
        <v>149</v>
      </c>
      <c r="C31" s="79">
        <v>0.2</v>
      </c>
      <c r="D31" s="105">
        <f>(SUM(D27:D29)/C27)*C31*15*C30</f>
        <v>0</v>
      </c>
    </row>
    <row r="32" spans="1:4" outlineLevel="2" x14ac:dyDescent="0.35">
      <c r="A32" s="78" t="s">
        <v>112</v>
      </c>
      <c r="B32" s="63" t="s">
        <v>150</v>
      </c>
      <c r="C32" s="80">
        <f>C30*(60/52.5)/8</f>
        <v>0</v>
      </c>
      <c r="D32" s="105">
        <f>(SUM(D27:D29)/C27)*(C31)*15*C32</f>
        <v>0</v>
      </c>
    </row>
    <row r="33" spans="1:4" outlineLevel="1" x14ac:dyDescent="0.35">
      <c r="A33" s="65" t="s">
        <v>22</v>
      </c>
      <c r="B33" s="63" t="s">
        <v>151</v>
      </c>
      <c r="C33" s="28" t="s">
        <v>152</v>
      </c>
      <c r="D33" s="1">
        <f>SUM(D34:D37)</f>
        <v>0</v>
      </c>
    </row>
    <row r="34" spans="1:4" outlineLevel="2" x14ac:dyDescent="0.35">
      <c r="A34" s="81" t="s">
        <v>153</v>
      </c>
      <c r="B34" s="82" t="s">
        <v>154</v>
      </c>
      <c r="C34" s="83">
        <v>0</v>
      </c>
      <c r="D34" s="106">
        <f>(SUM($D$27:$D$29)/$C$27)*C34*1.5</f>
        <v>0</v>
      </c>
    </row>
    <row r="35" spans="1:4" outlineLevel="2" x14ac:dyDescent="0.35">
      <c r="A35" s="81" t="s">
        <v>155</v>
      </c>
      <c r="B35" s="84" t="s">
        <v>156</v>
      </c>
      <c r="C35" s="85">
        <v>0</v>
      </c>
      <c r="D35" s="106">
        <f>(SUM($D$27:$D$29)/$C$27)*C35*((60/52.5)*1.2*1.5)</f>
        <v>0</v>
      </c>
    </row>
    <row r="36" spans="1:4" outlineLevel="2" x14ac:dyDescent="0.35">
      <c r="A36" s="81" t="s">
        <v>157</v>
      </c>
      <c r="B36" s="82" t="s">
        <v>158</v>
      </c>
      <c r="C36" s="86">
        <f>C34*0.1429</f>
        <v>0</v>
      </c>
      <c r="D36" s="106">
        <f>(SUM($D$27:$D$29)/$C$27)*C36*2</f>
        <v>0</v>
      </c>
    </row>
    <row r="37" spans="1:4" outlineLevel="2" x14ac:dyDescent="0.35">
      <c r="A37" s="81" t="s">
        <v>159</v>
      </c>
      <c r="B37" s="82" t="s">
        <v>160</v>
      </c>
      <c r="C37" s="86">
        <f>C34*0.1429</f>
        <v>0</v>
      </c>
      <c r="D37" s="106">
        <f>(SUM($D$27:$D$29)/$C$27)*C37*((60/52.5)*1.2*2)</f>
        <v>0</v>
      </c>
    </row>
    <row r="38" spans="1:4" outlineLevel="1" x14ac:dyDescent="0.35">
      <c r="A38" s="65" t="s">
        <v>24</v>
      </c>
      <c r="B38" s="55" t="s">
        <v>526</v>
      </c>
      <c r="C38" s="56">
        <v>0</v>
      </c>
      <c r="D38" s="107">
        <v>293.64999999999998</v>
      </c>
    </row>
    <row r="39" spans="1:4" x14ac:dyDescent="0.35">
      <c r="A39" s="634" t="s">
        <v>40</v>
      </c>
      <c r="B39" s="635"/>
      <c r="C39" s="636"/>
      <c r="D39" s="108">
        <f>SUM(D27:D30,D33,D38)</f>
        <v>1751.15</v>
      </c>
    </row>
    <row r="40" spans="1:4" x14ac:dyDescent="0.35">
      <c r="A40" s="650"/>
      <c r="B40" s="650"/>
      <c r="C40" s="650"/>
      <c r="D40" s="650"/>
    </row>
    <row r="41" spans="1:4" outlineLevel="1" x14ac:dyDescent="0.35">
      <c r="A41" s="87" t="s">
        <v>161</v>
      </c>
      <c r="B41" s="109" t="s">
        <v>162</v>
      </c>
      <c r="C41" s="110" t="s">
        <v>163</v>
      </c>
      <c r="D41" s="110" t="s">
        <v>35</v>
      </c>
    </row>
    <row r="42" spans="1:4" outlineLevel="1" x14ac:dyDescent="0.35">
      <c r="A42" s="111" t="s">
        <v>36</v>
      </c>
      <c r="B42" s="27" t="s">
        <v>164</v>
      </c>
      <c r="C42" s="88">
        <v>0</v>
      </c>
      <c r="D42" s="112">
        <f>(SUM(D27)/$C$27)*C42*1.5</f>
        <v>0</v>
      </c>
    </row>
    <row r="43" spans="1:4" outlineLevel="1" x14ac:dyDescent="0.35">
      <c r="A43" s="113" t="s">
        <v>17</v>
      </c>
      <c r="B43" s="114" t="s">
        <v>165</v>
      </c>
      <c r="C43" s="115">
        <v>0</v>
      </c>
      <c r="D43" s="104">
        <f>C43*177</f>
        <v>0</v>
      </c>
    </row>
    <row r="44" spans="1:4" outlineLevel="1" x14ac:dyDescent="0.35">
      <c r="A44" s="65" t="s">
        <v>19</v>
      </c>
      <c r="B44" s="55" t="s">
        <v>39</v>
      </c>
      <c r="C44" s="56">
        <v>0</v>
      </c>
      <c r="D44" s="107">
        <v>0</v>
      </c>
    </row>
    <row r="45" spans="1:4" x14ac:dyDescent="0.35">
      <c r="A45" s="644" t="s">
        <v>166</v>
      </c>
      <c r="B45" s="645"/>
      <c r="C45" s="30">
        <f>D45/D39</f>
        <v>0</v>
      </c>
      <c r="D45" s="116">
        <f>SUM(D42:D43)</f>
        <v>0</v>
      </c>
    </row>
    <row r="46" spans="1:4" x14ac:dyDescent="0.35">
      <c r="A46" s="646"/>
      <c r="B46" s="647"/>
      <c r="C46" s="647"/>
      <c r="D46" s="648"/>
    </row>
    <row r="47" spans="1:4" x14ac:dyDescent="0.35">
      <c r="A47" s="663" t="s">
        <v>41</v>
      </c>
      <c r="B47" s="664"/>
      <c r="C47" s="664"/>
      <c r="D47" s="665"/>
    </row>
    <row r="48" spans="1:4" outlineLevel="1" x14ac:dyDescent="0.35">
      <c r="A48" s="646"/>
      <c r="B48" s="647"/>
      <c r="C48" s="647"/>
      <c r="D48" s="648"/>
    </row>
    <row r="49" spans="1:4" outlineLevel="1" x14ac:dyDescent="0.35">
      <c r="A49" s="110" t="s">
        <v>42</v>
      </c>
      <c r="B49" s="109" t="s">
        <v>43</v>
      </c>
      <c r="C49" s="110" t="s">
        <v>44</v>
      </c>
      <c r="D49" s="110" t="s">
        <v>35</v>
      </c>
    </row>
    <row r="50" spans="1:4" outlineLevel="2" x14ac:dyDescent="0.35">
      <c r="A50" s="113" t="s">
        <v>36</v>
      </c>
      <c r="B50" s="114" t="s">
        <v>45</v>
      </c>
      <c r="C50" s="29">
        <f>1/12</f>
        <v>8.3299999999999999E-2</v>
      </c>
      <c r="D50" s="104">
        <f>C50*D39</f>
        <v>145.87</v>
      </c>
    </row>
    <row r="51" spans="1:4" outlineLevel="2" x14ac:dyDescent="0.35">
      <c r="A51" s="113" t="s">
        <v>16</v>
      </c>
      <c r="B51" s="114" t="s">
        <v>113</v>
      </c>
      <c r="C51" s="29">
        <f>IF(C12&gt;60,(1/C12/3)*5,IF(C12&gt;48,(1/C12/3)*4,IF(C12&gt;36,(1/C12/3)*3,IF(C12&gt;24,(1/C12/3)*2,IF(C12&gt;12,(1/C12/3)*1,0)))))</f>
        <v>1.67E-2</v>
      </c>
      <c r="D51" s="104">
        <f>C51*D39</f>
        <v>29.24</v>
      </c>
    </row>
    <row r="52" spans="1:4" outlineLevel="1" x14ac:dyDescent="0.35">
      <c r="A52" s="644" t="s">
        <v>11</v>
      </c>
      <c r="B52" s="645"/>
      <c r="C52" s="30">
        <f>SUM(C50:C51)</f>
        <v>0.1</v>
      </c>
      <c r="D52" s="116">
        <f>SUM(D50:D51)</f>
        <v>175.11</v>
      </c>
    </row>
    <row r="53" spans="1:4" outlineLevel="1" x14ac:dyDescent="0.35">
      <c r="A53" s="646"/>
      <c r="B53" s="647"/>
      <c r="C53" s="647"/>
      <c r="D53" s="648"/>
    </row>
    <row r="54" spans="1:4" outlineLevel="1" x14ac:dyDescent="0.35">
      <c r="A54" s="110" t="s">
        <v>46</v>
      </c>
      <c r="B54" s="117" t="s">
        <v>47</v>
      </c>
      <c r="C54" s="110" t="s">
        <v>44</v>
      </c>
      <c r="D54" s="118" t="s">
        <v>35</v>
      </c>
    </row>
    <row r="55" spans="1:4" outlineLevel="2" x14ac:dyDescent="0.35">
      <c r="A55" s="111" t="s">
        <v>36</v>
      </c>
      <c r="B55" s="31" t="s">
        <v>48</v>
      </c>
      <c r="C55" s="32">
        <v>0.2</v>
      </c>
      <c r="D55" s="104">
        <f t="shared" ref="D55:D62" si="0">C55*($D$39+$D$52)</f>
        <v>385.25</v>
      </c>
    </row>
    <row r="56" spans="1:4" outlineLevel="2" x14ac:dyDescent="0.35">
      <c r="A56" s="111" t="s">
        <v>16</v>
      </c>
      <c r="B56" s="31" t="s">
        <v>49</v>
      </c>
      <c r="C56" s="32">
        <v>2.5000000000000001E-2</v>
      </c>
      <c r="D56" s="104">
        <f t="shared" si="0"/>
        <v>48.16</v>
      </c>
    </row>
    <row r="57" spans="1:4" outlineLevel="2" x14ac:dyDescent="0.35">
      <c r="A57" s="111" t="s">
        <v>17</v>
      </c>
      <c r="B57" s="31" t="s">
        <v>167</v>
      </c>
      <c r="C57" s="66">
        <v>0.03</v>
      </c>
      <c r="D57" s="104">
        <f t="shared" si="0"/>
        <v>57.79</v>
      </c>
    </row>
    <row r="58" spans="1:4" outlineLevel="2" x14ac:dyDescent="0.35">
      <c r="A58" s="111" t="s">
        <v>19</v>
      </c>
      <c r="B58" s="31" t="s">
        <v>168</v>
      </c>
      <c r="C58" s="32">
        <v>1.4999999999999999E-2</v>
      </c>
      <c r="D58" s="104">
        <f t="shared" si="0"/>
        <v>28.89</v>
      </c>
    </row>
    <row r="59" spans="1:4" outlineLevel="2" x14ac:dyDescent="0.35">
      <c r="A59" s="111" t="s">
        <v>22</v>
      </c>
      <c r="B59" s="31" t="s">
        <v>169</v>
      </c>
      <c r="C59" s="32">
        <v>0.01</v>
      </c>
      <c r="D59" s="104">
        <f t="shared" si="0"/>
        <v>19.260000000000002</v>
      </c>
    </row>
    <row r="60" spans="1:4" outlineLevel="2" x14ac:dyDescent="0.35">
      <c r="A60" s="111" t="s">
        <v>24</v>
      </c>
      <c r="B60" s="31" t="s">
        <v>50</v>
      </c>
      <c r="C60" s="32">
        <v>6.0000000000000001E-3</v>
      </c>
      <c r="D60" s="104">
        <f t="shared" si="0"/>
        <v>11.56</v>
      </c>
    </row>
    <row r="61" spans="1:4" outlineLevel="2" x14ac:dyDescent="0.35">
      <c r="A61" s="111" t="s">
        <v>25</v>
      </c>
      <c r="B61" s="31" t="s">
        <v>51</v>
      </c>
      <c r="C61" s="32">
        <v>2E-3</v>
      </c>
      <c r="D61" s="104">
        <f t="shared" si="0"/>
        <v>3.85</v>
      </c>
    </row>
    <row r="62" spans="1:4" outlineLevel="2" x14ac:dyDescent="0.35">
      <c r="A62" s="111" t="s">
        <v>52</v>
      </c>
      <c r="B62" s="31" t="s">
        <v>53</v>
      </c>
      <c r="C62" s="32">
        <v>0.08</v>
      </c>
      <c r="D62" s="104">
        <f t="shared" si="0"/>
        <v>154.1</v>
      </c>
    </row>
    <row r="63" spans="1:4" outlineLevel="1" x14ac:dyDescent="0.35">
      <c r="A63" s="644" t="s">
        <v>11</v>
      </c>
      <c r="B63" s="645"/>
      <c r="C63" s="33">
        <f>SUM(C55:C62)</f>
        <v>0.36799999999999999</v>
      </c>
      <c r="D63" s="119">
        <f>SUM(D55:D62)</f>
        <v>708.86</v>
      </c>
    </row>
    <row r="64" spans="1:4" outlineLevel="1" x14ac:dyDescent="0.35">
      <c r="A64" s="646"/>
      <c r="B64" s="647"/>
      <c r="C64" s="647"/>
      <c r="D64" s="648"/>
    </row>
    <row r="65" spans="1:4" outlineLevel="1" x14ac:dyDescent="0.35">
      <c r="A65" s="110" t="s">
        <v>54</v>
      </c>
      <c r="B65" s="117" t="s">
        <v>55</v>
      </c>
      <c r="C65" s="110" t="s">
        <v>56</v>
      </c>
      <c r="D65" s="110" t="s">
        <v>35</v>
      </c>
    </row>
    <row r="66" spans="1:4" outlineLevel="2" x14ac:dyDescent="0.35">
      <c r="A66" s="111" t="s">
        <v>36</v>
      </c>
      <c r="B66" s="31" t="s">
        <v>57</v>
      </c>
      <c r="C66" s="120">
        <f>+TLS!C66</f>
        <v>4</v>
      </c>
      <c r="D66" s="121">
        <f>IF(D67+D68&gt;0,(D67+D68),0)</f>
        <v>96.5</v>
      </c>
    </row>
    <row r="67" spans="1:4" outlineLevel="3" x14ac:dyDescent="0.35">
      <c r="A67" s="122" t="s">
        <v>110</v>
      </c>
      <c r="B67" s="31" t="s">
        <v>170</v>
      </c>
      <c r="C67" s="123">
        <v>22</v>
      </c>
      <c r="D67" s="124">
        <f>C66*C67*2</f>
        <v>176</v>
      </c>
    </row>
    <row r="68" spans="1:4" outlineLevel="3" x14ac:dyDescent="0.35">
      <c r="A68" s="122" t="s">
        <v>114</v>
      </c>
      <c r="B68" s="31" t="s">
        <v>171</v>
      </c>
      <c r="C68" s="125">
        <v>0.06</v>
      </c>
      <c r="D68" s="124">
        <f>-D27*C68</f>
        <v>-79.5</v>
      </c>
    </row>
    <row r="69" spans="1:4" outlineLevel="2" x14ac:dyDescent="0.35">
      <c r="A69" s="111" t="s">
        <v>16</v>
      </c>
      <c r="B69" s="31" t="s">
        <v>58</v>
      </c>
      <c r="C69" s="382">
        <f>290/22</f>
        <v>13.182</v>
      </c>
      <c r="D69" s="121">
        <f>D70+D71</f>
        <v>290</v>
      </c>
    </row>
    <row r="70" spans="1:4" outlineLevel="3" x14ac:dyDescent="0.35">
      <c r="A70" s="122" t="s">
        <v>90</v>
      </c>
      <c r="B70" s="31" t="s">
        <v>172</v>
      </c>
      <c r="C70" s="123">
        <v>22</v>
      </c>
      <c r="D70" s="124">
        <f>C69*C70</f>
        <v>290</v>
      </c>
    </row>
    <row r="71" spans="1:4" outlineLevel="3" x14ac:dyDescent="0.35">
      <c r="A71" s="122" t="s">
        <v>115</v>
      </c>
      <c r="B71" s="31" t="s">
        <v>91</v>
      </c>
      <c r="C71" s="127">
        <f>'SR - ASG int'!C71</f>
        <v>0</v>
      </c>
      <c r="D71" s="124">
        <f>D70*C71</f>
        <v>0</v>
      </c>
    </row>
    <row r="72" spans="1:4" outlineLevel="2" x14ac:dyDescent="0.35">
      <c r="A72" s="111" t="s">
        <v>17</v>
      </c>
      <c r="B72" s="75" t="s">
        <v>291</v>
      </c>
      <c r="C72" s="126">
        <f>'SR - ASG int'!C72</f>
        <v>9.6999999999999993</v>
      </c>
      <c r="D72" s="129">
        <f>C72</f>
        <v>9.6999999999999993</v>
      </c>
    </row>
    <row r="73" spans="1:4" outlineLevel="2" x14ac:dyDescent="0.35">
      <c r="A73" s="111" t="s">
        <v>19</v>
      </c>
      <c r="B73" s="76" t="s">
        <v>293</v>
      </c>
      <c r="C73" s="126">
        <f>140*3</f>
        <v>420</v>
      </c>
      <c r="D73" s="129">
        <f>C73*C152</f>
        <v>0.84</v>
      </c>
    </row>
    <row r="74" spans="1:4" outlineLevel="2" x14ac:dyDescent="0.35">
      <c r="A74" s="111" t="s">
        <v>22</v>
      </c>
      <c r="B74" s="75" t="s">
        <v>292</v>
      </c>
      <c r="C74" s="126">
        <v>21</v>
      </c>
      <c r="D74" s="129">
        <f>C74</f>
        <v>21</v>
      </c>
    </row>
    <row r="75" spans="1:4" outlineLevel="2" x14ac:dyDescent="0.35">
      <c r="A75" s="111" t="s">
        <v>24</v>
      </c>
      <c r="B75" s="75" t="s">
        <v>554</v>
      </c>
      <c r="C75" s="128">
        <v>0</v>
      </c>
      <c r="D75" s="129">
        <v>97</v>
      </c>
    </row>
    <row r="76" spans="1:4" outlineLevel="2" x14ac:dyDescent="0.35">
      <c r="A76" s="111" t="s">
        <v>25</v>
      </c>
      <c r="B76" s="75" t="s">
        <v>39</v>
      </c>
      <c r="C76" s="126">
        <v>0</v>
      </c>
      <c r="D76" s="130">
        <f>C76</f>
        <v>0</v>
      </c>
    </row>
    <row r="77" spans="1:4" outlineLevel="1" x14ac:dyDescent="0.35">
      <c r="A77" s="644" t="s">
        <v>59</v>
      </c>
      <c r="B77" s="657"/>
      <c r="C77" s="645"/>
      <c r="D77" s="116">
        <f>SUM(D66,D69,D72:D76)</f>
        <v>515.04</v>
      </c>
    </row>
    <row r="78" spans="1:4" outlineLevel="1" x14ac:dyDescent="0.35">
      <c r="A78" s="646"/>
      <c r="B78" s="647"/>
      <c r="C78" s="647"/>
      <c r="D78" s="648"/>
    </row>
    <row r="79" spans="1:4" outlineLevel="1" x14ac:dyDescent="0.35">
      <c r="A79" s="661" t="s">
        <v>60</v>
      </c>
      <c r="B79" s="662"/>
      <c r="C79" s="110" t="s">
        <v>44</v>
      </c>
      <c r="D79" s="110" t="s">
        <v>35</v>
      </c>
    </row>
    <row r="80" spans="1:4" outlineLevel="1" x14ac:dyDescent="0.35">
      <c r="A80" s="111" t="s">
        <v>61</v>
      </c>
      <c r="B80" s="31" t="s">
        <v>43</v>
      </c>
      <c r="C80" s="34">
        <f>C52</f>
        <v>0.1</v>
      </c>
      <c r="D80" s="104">
        <f>D52</f>
        <v>175.11</v>
      </c>
    </row>
    <row r="81" spans="1:4" outlineLevel="1" x14ac:dyDescent="0.35">
      <c r="A81" s="111" t="s">
        <v>46</v>
      </c>
      <c r="B81" s="31" t="s">
        <v>47</v>
      </c>
      <c r="C81" s="34">
        <f>C63</f>
        <v>0.36799999999999999</v>
      </c>
      <c r="D81" s="104">
        <f>D63</f>
        <v>708.86</v>
      </c>
    </row>
    <row r="82" spans="1:4" outlineLevel="1" x14ac:dyDescent="0.35">
      <c r="A82" s="111" t="s">
        <v>62</v>
      </c>
      <c r="B82" s="31" t="s">
        <v>55</v>
      </c>
      <c r="C82" s="34">
        <f>D77/D39</f>
        <v>0.29409999999999997</v>
      </c>
      <c r="D82" s="104">
        <f>D77</f>
        <v>515.04</v>
      </c>
    </row>
    <row r="83" spans="1:4" x14ac:dyDescent="0.35">
      <c r="A83" s="644" t="s">
        <v>11</v>
      </c>
      <c r="B83" s="657"/>
      <c r="C83" s="645"/>
      <c r="D83" s="116">
        <f>SUM(D80:D82)</f>
        <v>1399.01</v>
      </c>
    </row>
    <row r="84" spans="1:4" x14ac:dyDescent="0.35">
      <c r="A84" s="646"/>
      <c r="B84" s="647"/>
      <c r="C84" s="647"/>
      <c r="D84" s="648"/>
    </row>
    <row r="85" spans="1:4" x14ac:dyDescent="0.35">
      <c r="A85" s="680" t="s">
        <v>173</v>
      </c>
      <c r="B85" s="681"/>
      <c r="C85" s="681"/>
      <c r="D85" s="682"/>
    </row>
    <row r="86" spans="1:4" outlineLevel="1" x14ac:dyDescent="0.35">
      <c r="A86" s="646"/>
      <c r="B86" s="647"/>
      <c r="C86" s="647"/>
      <c r="D86" s="648"/>
    </row>
    <row r="87" spans="1:4" outlineLevel="1" x14ac:dyDescent="0.35">
      <c r="A87" s="64" t="s">
        <v>174</v>
      </c>
      <c r="B87" s="109" t="s">
        <v>175</v>
      </c>
      <c r="C87" s="110" t="s">
        <v>44</v>
      </c>
      <c r="D87" s="110" t="s">
        <v>35</v>
      </c>
    </row>
    <row r="88" spans="1:4" outlineLevel="2" x14ac:dyDescent="0.35">
      <c r="A88" s="35" t="s">
        <v>36</v>
      </c>
      <c r="B88" s="36" t="s">
        <v>176</v>
      </c>
      <c r="C88" s="35" t="s">
        <v>152</v>
      </c>
      <c r="D88" s="131">
        <f>IF(C99&gt;1,SUM(D89:D92)*2,SUM(D89:D92))</f>
        <v>2467.6799999999998</v>
      </c>
    </row>
    <row r="89" spans="1:4" hidden="1" outlineLevel="3" x14ac:dyDescent="0.35">
      <c r="A89" s="37" t="s">
        <v>177</v>
      </c>
      <c r="B89" s="38" t="s">
        <v>178</v>
      </c>
      <c r="C89" s="35">
        <f>(IF(C12&gt;60,45,IF(C12&gt;48,42,IF(C12&gt;36,39,IF(C12&gt;24,36,IF(C12&gt;12,33,30)))))/30)</f>
        <v>1.1000000000000001</v>
      </c>
      <c r="D89" s="131">
        <f>D39*C89</f>
        <v>1926.27</v>
      </c>
    </row>
    <row r="90" spans="1:4" hidden="1" outlineLevel="3" x14ac:dyDescent="0.35">
      <c r="A90" s="37" t="s">
        <v>179</v>
      </c>
      <c r="B90" s="38" t="s">
        <v>180</v>
      </c>
      <c r="C90" s="29">
        <f>1/12</f>
        <v>8.3299999999999999E-2</v>
      </c>
      <c r="D90" s="131">
        <f>C90*D89</f>
        <v>160.46</v>
      </c>
    </row>
    <row r="91" spans="1:4" hidden="1" outlineLevel="3" x14ac:dyDescent="0.35">
      <c r="A91" s="37" t="s">
        <v>181</v>
      </c>
      <c r="B91" s="38" t="s">
        <v>182</v>
      </c>
      <c r="C91" s="29">
        <f>(1/12)+(1/12/3)</f>
        <v>0.1111</v>
      </c>
      <c r="D91" s="132">
        <f>C91*D89</f>
        <v>214.01</v>
      </c>
    </row>
    <row r="92" spans="1:4" hidden="1" outlineLevel="3" x14ac:dyDescent="0.35">
      <c r="A92" s="37" t="s">
        <v>183</v>
      </c>
      <c r="B92" s="38" t="s">
        <v>184</v>
      </c>
      <c r="C92" s="39">
        <v>0.08</v>
      </c>
      <c r="D92" s="131">
        <f>SUM(D89:D90)*C92</f>
        <v>166.94</v>
      </c>
    </row>
    <row r="93" spans="1:4" outlineLevel="2" collapsed="1" x14ac:dyDescent="0.35">
      <c r="A93" s="35" t="s">
        <v>16</v>
      </c>
      <c r="B93" s="36" t="s">
        <v>185</v>
      </c>
      <c r="C93" s="40">
        <v>0.4</v>
      </c>
      <c r="D93" s="131">
        <f>C93*D94</f>
        <v>1234.68</v>
      </c>
    </row>
    <row r="94" spans="1:4" hidden="1" outlineLevel="3" x14ac:dyDescent="0.35">
      <c r="A94" s="35" t="s">
        <v>186</v>
      </c>
      <c r="B94" s="36" t="s">
        <v>187</v>
      </c>
      <c r="C94" s="40">
        <f>C62</f>
        <v>0.08</v>
      </c>
      <c r="D94" s="131">
        <f>C94*D95</f>
        <v>3086.69</v>
      </c>
    </row>
    <row r="95" spans="1:4" hidden="1" outlineLevel="3" x14ac:dyDescent="0.35">
      <c r="A95" s="35" t="s">
        <v>188</v>
      </c>
      <c r="B95" s="41" t="s">
        <v>116</v>
      </c>
      <c r="C95" s="42" t="s">
        <v>152</v>
      </c>
      <c r="D95" s="132">
        <f>SUM(D96:D98)</f>
        <v>38583.68</v>
      </c>
    </row>
    <row r="96" spans="1:4" hidden="1" outlineLevel="3" x14ac:dyDescent="0.35">
      <c r="A96" s="37" t="s">
        <v>189</v>
      </c>
      <c r="B96" s="38" t="s">
        <v>190</v>
      </c>
      <c r="C96" s="43">
        <f>C12-C98</f>
        <v>19</v>
      </c>
      <c r="D96" s="131">
        <f>D39*C96</f>
        <v>33271.85</v>
      </c>
    </row>
    <row r="97" spans="1:4" hidden="1" outlineLevel="3" x14ac:dyDescent="0.35">
      <c r="A97" s="37" t="s">
        <v>191</v>
      </c>
      <c r="B97" s="38" t="s">
        <v>192</v>
      </c>
      <c r="C97" s="44">
        <f>C12/12</f>
        <v>1.7</v>
      </c>
      <c r="D97" s="131">
        <f>D39*C97</f>
        <v>2976.96</v>
      </c>
    </row>
    <row r="98" spans="1:4" hidden="1" outlineLevel="3" x14ac:dyDescent="0.35">
      <c r="A98" s="37" t="s">
        <v>193</v>
      </c>
      <c r="B98" s="38" t="s">
        <v>194</v>
      </c>
      <c r="C98" s="42">
        <f>IF(C12&gt;60,5,IF(C12&gt;48,4,IF(C12&gt;36,3,IF(C12&gt;24,2,IF(C12&gt;12,1,0)))))</f>
        <v>1</v>
      </c>
      <c r="D98" s="132">
        <f>D39*C98*1.33333333333333</f>
        <v>2334.87</v>
      </c>
    </row>
    <row r="99" spans="1:4" outlineLevel="1" x14ac:dyDescent="0.35">
      <c r="A99" s="644" t="s">
        <v>11</v>
      </c>
      <c r="B99" s="645"/>
      <c r="C99" s="67">
        <f>'SR - ASG int'!C99</f>
        <v>5.5500000000000001E-2</v>
      </c>
      <c r="D99" s="116">
        <f>IF(C99&gt;1,D88+D93,(D88+D93)*C99)</f>
        <v>205.48</v>
      </c>
    </row>
    <row r="100" spans="1:4" outlineLevel="1" x14ac:dyDescent="0.35">
      <c r="A100" s="658"/>
      <c r="B100" s="659"/>
      <c r="C100" s="659"/>
      <c r="D100" s="660"/>
    </row>
    <row r="101" spans="1:4" outlineLevel="1" x14ac:dyDescent="0.35">
      <c r="A101" s="64" t="s">
        <v>195</v>
      </c>
      <c r="B101" s="109" t="s">
        <v>196</v>
      </c>
      <c r="C101" s="110" t="s">
        <v>44</v>
      </c>
      <c r="D101" s="110" t="s">
        <v>35</v>
      </c>
    </row>
    <row r="102" spans="1:4" outlineLevel="2" x14ac:dyDescent="0.35">
      <c r="A102" s="35" t="s">
        <v>36</v>
      </c>
      <c r="B102" s="41" t="s">
        <v>197</v>
      </c>
      <c r="C102" s="45">
        <f>IF(C111&gt;1,(1/30*7)*2,(1/30*7))</f>
        <v>0.23330000000000001</v>
      </c>
      <c r="D102" s="132">
        <f>C102*SUM(D103:D107)</f>
        <v>770.99</v>
      </c>
    </row>
    <row r="103" spans="1:4" hidden="1" outlineLevel="3" x14ac:dyDescent="0.35">
      <c r="A103" s="37" t="s">
        <v>177</v>
      </c>
      <c r="B103" s="38" t="s">
        <v>198</v>
      </c>
      <c r="C103" s="35">
        <v>1</v>
      </c>
      <c r="D103" s="131">
        <f>D39</f>
        <v>1751.15</v>
      </c>
    </row>
    <row r="104" spans="1:4" hidden="1" outlineLevel="3" x14ac:dyDescent="0.35">
      <c r="A104" s="37" t="s">
        <v>179</v>
      </c>
      <c r="B104" s="38" t="s">
        <v>199</v>
      </c>
      <c r="C104" s="29">
        <f>1/12</f>
        <v>8.3299999999999999E-2</v>
      </c>
      <c r="D104" s="131">
        <f>C104*D103</f>
        <v>145.87</v>
      </c>
    </row>
    <row r="105" spans="1:4" hidden="1" outlineLevel="3" x14ac:dyDescent="0.35">
      <c r="A105" s="37" t="s">
        <v>181</v>
      </c>
      <c r="B105" s="38" t="s">
        <v>200</v>
      </c>
      <c r="C105" s="29">
        <f>(1/12)+(1/12/3)</f>
        <v>0.1111</v>
      </c>
      <c r="D105" s="131">
        <f>C105*D103</f>
        <v>194.55</v>
      </c>
    </row>
    <row r="106" spans="1:4" hidden="1" outlineLevel="3" x14ac:dyDescent="0.35">
      <c r="A106" s="37" t="s">
        <v>183</v>
      </c>
      <c r="B106" s="46" t="s">
        <v>63</v>
      </c>
      <c r="C106" s="47">
        <f>C63</f>
        <v>0.36799999999999999</v>
      </c>
      <c r="D106" s="132">
        <f>C106*(D103+D104)</f>
        <v>698.1</v>
      </c>
    </row>
    <row r="107" spans="1:4" hidden="1" outlineLevel="3" x14ac:dyDescent="0.35">
      <c r="A107" s="37" t="s">
        <v>201</v>
      </c>
      <c r="B107" s="46" t="s">
        <v>202</v>
      </c>
      <c r="C107" s="42">
        <v>1</v>
      </c>
      <c r="D107" s="132">
        <f>D77</f>
        <v>515.04</v>
      </c>
    </row>
    <row r="108" spans="1:4" outlineLevel="2" collapsed="1" x14ac:dyDescent="0.35">
      <c r="A108" s="35" t="s">
        <v>16</v>
      </c>
      <c r="B108" s="36" t="s">
        <v>203</v>
      </c>
      <c r="C108" s="40">
        <v>0.4</v>
      </c>
      <c r="D108" s="131">
        <f>C108*D109</f>
        <v>1234.68</v>
      </c>
    </row>
    <row r="109" spans="1:4" outlineLevel="2" x14ac:dyDescent="0.35">
      <c r="A109" s="35" t="s">
        <v>186</v>
      </c>
      <c r="B109" s="36" t="s">
        <v>187</v>
      </c>
      <c r="C109" s="40">
        <f>C62</f>
        <v>0.08</v>
      </c>
      <c r="D109" s="131">
        <f>C109*D110</f>
        <v>3086.69</v>
      </c>
    </row>
    <row r="110" spans="1:4" outlineLevel="2" x14ac:dyDescent="0.35">
      <c r="A110" s="35" t="s">
        <v>188</v>
      </c>
      <c r="B110" s="41" t="s">
        <v>116</v>
      </c>
      <c r="C110" s="42" t="s">
        <v>152</v>
      </c>
      <c r="D110" s="132">
        <f>D95</f>
        <v>38583.68</v>
      </c>
    </row>
    <row r="111" spans="1:4" outlineLevel="1" x14ac:dyDescent="0.35">
      <c r="A111" s="644" t="s">
        <v>11</v>
      </c>
      <c r="B111" s="645"/>
      <c r="C111" s="67">
        <f>'SR - ASG int'!C111</f>
        <v>0.94450000000000001</v>
      </c>
      <c r="D111" s="116">
        <f>IF(C111&gt;1,D102+D108,(D102+D108)*C111)</f>
        <v>1894.36</v>
      </c>
    </row>
    <row r="112" spans="1:4" outlineLevel="1" x14ac:dyDescent="0.35">
      <c r="A112" s="658"/>
      <c r="B112" s="659"/>
      <c r="C112" s="659"/>
      <c r="D112" s="660"/>
    </row>
    <row r="113" spans="1:4" outlineLevel="1" x14ac:dyDescent="0.35">
      <c r="A113" s="64" t="s">
        <v>204</v>
      </c>
      <c r="B113" s="109" t="s">
        <v>205</v>
      </c>
      <c r="C113" s="110" t="s">
        <v>44</v>
      </c>
      <c r="D113" s="110" t="s">
        <v>35</v>
      </c>
    </row>
    <row r="114" spans="1:4" outlineLevel="2" x14ac:dyDescent="0.35">
      <c r="A114" s="111" t="s">
        <v>36</v>
      </c>
      <c r="B114" s="31" t="s">
        <v>206</v>
      </c>
      <c r="C114" s="34">
        <f>IF(C12&gt;60,(D39/12*(C12-60))/C12/D39,IF(C12&gt;48,(D39/12*(C12-48))/C12/D39,IF(C12&gt;36,(D39/12*(C12-36))/C12/D39,IF(C12&gt;24,(D39/12*(C12-24))/C12/D39,IF(C12&gt;12,((D39/12*(C12-12))/C12/D39),1/12)))))</f>
        <v>3.3300000000000003E-2</v>
      </c>
      <c r="D114" s="133">
        <f>C114*D39</f>
        <v>58.31</v>
      </c>
    </row>
    <row r="115" spans="1:4" outlineLevel="2" x14ac:dyDescent="0.35">
      <c r="A115" s="111" t="s">
        <v>16</v>
      </c>
      <c r="B115" s="48" t="s">
        <v>207</v>
      </c>
      <c r="C115" s="34">
        <f>C114/3</f>
        <v>1.11E-2</v>
      </c>
      <c r="D115" s="134">
        <f>C115*D39</f>
        <v>19.440000000000001</v>
      </c>
    </row>
    <row r="116" spans="1:4" outlineLevel="1" x14ac:dyDescent="0.35">
      <c r="A116" s="644" t="s">
        <v>11</v>
      </c>
      <c r="B116" s="645"/>
      <c r="C116" s="30">
        <f>C114+C115</f>
        <v>4.4400000000000002E-2</v>
      </c>
      <c r="D116" s="116">
        <f>SUM(D114:D115)</f>
        <v>77.75</v>
      </c>
    </row>
    <row r="117" spans="1:4" outlineLevel="1" x14ac:dyDescent="0.35">
      <c r="A117" s="658"/>
      <c r="B117" s="659"/>
      <c r="C117" s="659"/>
      <c r="D117" s="660"/>
    </row>
    <row r="118" spans="1:4" outlineLevel="1" x14ac:dyDescent="0.35">
      <c r="A118" s="661" t="s">
        <v>208</v>
      </c>
      <c r="B118" s="662"/>
      <c r="C118" s="110" t="s">
        <v>44</v>
      </c>
      <c r="D118" s="110" t="s">
        <v>35</v>
      </c>
    </row>
    <row r="119" spans="1:4" outlineLevel="1" x14ac:dyDescent="0.35">
      <c r="A119" s="111" t="s">
        <v>174</v>
      </c>
      <c r="B119" s="31" t="s">
        <v>175</v>
      </c>
      <c r="C119" s="34">
        <f>C99</f>
        <v>5.5500000000000001E-2</v>
      </c>
      <c r="D119" s="104">
        <f>D99</f>
        <v>205.48</v>
      </c>
    </row>
    <row r="120" spans="1:4" outlineLevel="1" x14ac:dyDescent="0.35">
      <c r="A120" s="113" t="s">
        <v>195</v>
      </c>
      <c r="B120" s="31" t="s">
        <v>196</v>
      </c>
      <c r="C120" s="49">
        <f>C111</f>
        <v>0.94450000000000001</v>
      </c>
      <c r="D120" s="104">
        <f>D111</f>
        <v>1894.36</v>
      </c>
    </row>
    <row r="121" spans="1:4" outlineLevel="1" x14ac:dyDescent="0.35">
      <c r="A121" s="679" t="s">
        <v>209</v>
      </c>
      <c r="B121" s="679"/>
      <c r="C121" s="679"/>
      <c r="D121" s="135">
        <f>D119+D120</f>
        <v>2099.84</v>
      </c>
    </row>
    <row r="122" spans="1:4" outlineLevel="1" x14ac:dyDescent="0.35">
      <c r="A122" s="675" t="s">
        <v>210</v>
      </c>
      <c r="B122" s="676"/>
      <c r="C122" s="68">
        <f>'SR - ASG int'!C122</f>
        <v>0.63570000000000004</v>
      </c>
      <c r="D122" s="58">
        <f>C122*D121</f>
        <v>1334.87</v>
      </c>
    </row>
    <row r="123" spans="1:4" outlineLevel="1" x14ac:dyDescent="0.35">
      <c r="A123" s="675" t="s">
        <v>211</v>
      </c>
      <c r="B123" s="676"/>
      <c r="C123" s="68">
        <f>'SR - ASG int'!C123</f>
        <v>1.0999999999999999E-2</v>
      </c>
      <c r="D123" s="58">
        <f>(D50+(D116/2))*-C123</f>
        <v>-2.0299999999999998</v>
      </c>
    </row>
    <row r="124" spans="1:4" outlineLevel="1" x14ac:dyDescent="0.35">
      <c r="A124" s="677" t="s">
        <v>212</v>
      </c>
      <c r="B124" s="678"/>
      <c r="C124" s="72">
        <f>1/C12</f>
        <v>0.05</v>
      </c>
      <c r="D124" s="59">
        <f>(D122+D123)*C124</f>
        <v>66.64</v>
      </c>
    </row>
    <row r="125" spans="1:4" outlineLevel="1" x14ac:dyDescent="0.35">
      <c r="A125" s="113" t="s">
        <v>204</v>
      </c>
      <c r="B125" s="31" t="s">
        <v>213</v>
      </c>
      <c r="C125" s="49"/>
      <c r="D125" s="124">
        <f>D116</f>
        <v>77.75</v>
      </c>
    </row>
    <row r="126" spans="1:4" x14ac:dyDescent="0.35">
      <c r="A126" s="644" t="s">
        <v>11</v>
      </c>
      <c r="B126" s="645"/>
      <c r="C126" s="30"/>
      <c r="D126" s="136">
        <f>D124+D125</f>
        <v>144.38999999999999</v>
      </c>
    </row>
    <row r="127" spans="1:4" x14ac:dyDescent="0.35">
      <c r="A127" s="646"/>
      <c r="B127" s="647"/>
      <c r="C127" s="647"/>
      <c r="D127" s="648"/>
    </row>
    <row r="128" spans="1:4" x14ac:dyDescent="0.35">
      <c r="A128" s="663" t="s">
        <v>64</v>
      </c>
      <c r="B128" s="664"/>
      <c r="C128" s="664"/>
      <c r="D128" s="665"/>
    </row>
    <row r="129" spans="1:4" outlineLevel="1" x14ac:dyDescent="0.35">
      <c r="A129" s="658"/>
      <c r="B129" s="659"/>
      <c r="C129" s="659"/>
      <c r="D129" s="660"/>
    </row>
    <row r="130" spans="1:4" outlineLevel="1" x14ac:dyDescent="0.35">
      <c r="A130" s="110" t="s">
        <v>65</v>
      </c>
      <c r="B130" s="117" t="s">
        <v>214</v>
      </c>
      <c r="C130" s="30" t="s">
        <v>44</v>
      </c>
      <c r="D130" s="110" t="s">
        <v>35</v>
      </c>
    </row>
    <row r="131" spans="1:4" outlineLevel="2" x14ac:dyDescent="0.35">
      <c r="A131" s="137" t="s">
        <v>36</v>
      </c>
      <c r="B131" s="89" t="s">
        <v>66</v>
      </c>
      <c r="C131" s="50">
        <f>IF(C12&gt;60,5/C12,IF(C12&gt;48,4/C12,IF(C12&gt;36,3/C12,IF(C12&gt;24,2/C12,IF(C12&gt;12,1/C12,0)))))</f>
        <v>0.05</v>
      </c>
      <c r="D131" s="133">
        <f>SUM(D132:D136)</f>
        <v>113.14</v>
      </c>
    </row>
    <row r="132" spans="1:4" hidden="1" outlineLevel="3" x14ac:dyDescent="0.35">
      <c r="A132" s="138" t="s">
        <v>215</v>
      </c>
      <c r="B132" s="90" t="s">
        <v>216</v>
      </c>
      <c r="C132" s="139">
        <f>D39</f>
        <v>1751.15</v>
      </c>
      <c r="D132" s="140">
        <f>$C$131*(D39)-($C$131*(D39)*C137/3)</f>
        <v>87.56</v>
      </c>
    </row>
    <row r="133" spans="1:4" hidden="1" outlineLevel="3" x14ac:dyDescent="0.35">
      <c r="A133" s="138" t="s">
        <v>217</v>
      </c>
      <c r="B133" s="90" t="s">
        <v>218</v>
      </c>
      <c r="C133" s="139">
        <f>(D50)</f>
        <v>145.87</v>
      </c>
      <c r="D133" s="140">
        <f>$C$131*C133-($C$131*C133*C137/3)</f>
        <v>7.29</v>
      </c>
    </row>
    <row r="134" spans="1:4" hidden="1" outlineLevel="3" x14ac:dyDescent="0.35">
      <c r="A134" s="138" t="s">
        <v>219</v>
      </c>
      <c r="B134" s="90" t="s">
        <v>220</v>
      </c>
      <c r="C134" s="141">
        <f>(D39/12)+(D51*IF(C12&gt;60,((C12-60)*(1/60))+1,IF(C12&gt;48,((C12-48)*(1/48))+1,IF(C12&gt;36,((C12-36)*(1/36))+1,IF(C12&gt;24,((C12-24)*(1/24))+1,IF(C12&gt;12,((C12-12)*(1/12))+1,1))))))</f>
        <v>194.66</v>
      </c>
      <c r="D134" s="140">
        <f>$C$131*C134-($C$131*C134*C137/3)</f>
        <v>9.73</v>
      </c>
    </row>
    <row r="135" spans="1:4" hidden="1" outlineLevel="3" x14ac:dyDescent="0.35">
      <c r="A135" s="138" t="s">
        <v>221</v>
      </c>
      <c r="B135" s="90" t="s">
        <v>222</v>
      </c>
      <c r="C135" s="91">
        <f>C63</f>
        <v>0.36799999999999999</v>
      </c>
      <c r="D135" s="140">
        <f>SUM(D132:D134)*C131</f>
        <v>5.23</v>
      </c>
    </row>
    <row r="136" spans="1:4" hidden="1" outlineLevel="3" x14ac:dyDescent="0.35">
      <c r="A136" s="138" t="s">
        <v>223</v>
      </c>
      <c r="B136" s="90" t="s">
        <v>224</v>
      </c>
      <c r="C136" s="141">
        <f>D124</f>
        <v>66.64</v>
      </c>
      <c r="D136" s="140">
        <f>C136*C131</f>
        <v>3.33</v>
      </c>
    </row>
    <row r="137" spans="1:4" outlineLevel="2" collapsed="1" x14ac:dyDescent="0.35">
      <c r="A137" s="111" t="s">
        <v>16</v>
      </c>
      <c r="B137" s="31" t="s">
        <v>225</v>
      </c>
      <c r="C137" s="92">
        <v>0</v>
      </c>
      <c r="D137" s="124">
        <f>$C$131*(D39)*(C137/3)</f>
        <v>0</v>
      </c>
    </row>
    <row r="138" spans="1:4" outlineLevel="1" x14ac:dyDescent="0.35">
      <c r="A138" s="644" t="s">
        <v>226</v>
      </c>
      <c r="B138" s="645"/>
      <c r="C138" s="30">
        <f>C131+(D137/D39)</f>
        <v>0.05</v>
      </c>
      <c r="D138" s="116">
        <f>SUM(D131:D137)</f>
        <v>226.28</v>
      </c>
    </row>
    <row r="139" spans="1:4" outlineLevel="1" x14ac:dyDescent="0.35">
      <c r="A139" s="658"/>
      <c r="B139" s="659"/>
      <c r="C139" s="659"/>
      <c r="D139" s="660"/>
    </row>
    <row r="140" spans="1:4" outlineLevel="2" x14ac:dyDescent="0.35">
      <c r="A140" s="668" t="s">
        <v>227</v>
      </c>
      <c r="B140" s="142" t="s">
        <v>190</v>
      </c>
      <c r="C140" s="93">
        <v>220</v>
      </c>
      <c r="D140" s="143">
        <f>D39</f>
        <v>1751.15</v>
      </c>
    </row>
    <row r="141" spans="1:4" outlineLevel="2" x14ac:dyDescent="0.35">
      <c r="A141" s="669"/>
      <c r="B141" s="142" t="s">
        <v>228</v>
      </c>
      <c r="C141" s="50">
        <f>(1+(1/3)+1)/12</f>
        <v>0.19439999999999999</v>
      </c>
      <c r="D141" s="144">
        <f>D140*C141</f>
        <v>340.42</v>
      </c>
    </row>
    <row r="142" spans="1:4" outlineLevel="2" x14ac:dyDescent="0.35">
      <c r="A142" s="669"/>
      <c r="B142" s="142" t="s">
        <v>229</v>
      </c>
      <c r="C142" s="50">
        <f>C63</f>
        <v>0.36799999999999999</v>
      </c>
      <c r="D142" s="144">
        <f>(D140+D141)*C142</f>
        <v>769.7</v>
      </c>
    </row>
    <row r="143" spans="1:4" outlineLevel="2" x14ac:dyDescent="0.35">
      <c r="A143" s="669"/>
      <c r="B143" s="142" t="s">
        <v>230</v>
      </c>
      <c r="C143" s="50">
        <f>D143/D140</f>
        <v>0.29409999999999997</v>
      </c>
      <c r="D143" s="144">
        <f>D77</f>
        <v>515.04</v>
      </c>
    </row>
    <row r="144" spans="1:4" outlineLevel="2" x14ac:dyDescent="0.35">
      <c r="A144" s="670"/>
      <c r="B144" s="145" t="s">
        <v>231</v>
      </c>
      <c r="C144" s="50">
        <f>D144/D140</f>
        <v>3.8100000000000002E-2</v>
      </c>
      <c r="D144" s="144">
        <f>D124</f>
        <v>66.64</v>
      </c>
    </row>
    <row r="145" spans="1:4" outlineLevel="2" x14ac:dyDescent="0.35">
      <c r="A145" s="671" t="s">
        <v>232</v>
      </c>
      <c r="B145" s="672"/>
      <c r="C145" s="94">
        <f>D145/D140</f>
        <v>1.9661</v>
      </c>
      <c r="D145" s="146">
        <f>SUM(D140:D144)</f>
        <v>3442.95</v>
      </c>
    </row>
    <row r="146" spans="1:4" outlineLevel="2" x14ac:dyDescent="0.35">
      <c r="A146" s="673"/>
      <c r="B146" s="673"/>
      <c r="C146" s="673"/>
      <c r="D146" s="674"/>
    </row>
    <row r="147" spans="1:4" outlineLevel="1" x14ac:dyDescent="0.35">
      <c r="A147" s="110" t="s">
        <v>233</v>
      </c>
      <c r="B147" s="117" t="s">
        <v>234</v>
      </c>
      <c r="C147" s="30" t="s">
        <v>44</v>
      </c>
      <c r="D147" s="110" t="s">
        <v>35</v>
      </c>
    </row>
    <row r="148" spans="1:4" outlineLevel="2" x14ac:dyDescent="0.35">
      <c r="A148" s="111" t="s">
        <v>16</v>
      </c>
      <c r="B148" s="31" t="s">
        <v>118</v>
      </c>
      <c r="C148" s="77">
        <f>5/252</f>
        <v>1.9800000000000002E-2</v>
      </c>
      <c r="D148" s="133">
        <f>C148*$D$145</f>
        <v>68.17</v>
      </c>
    </row>
    <row r="149" spans="1:4" outlineLevel="2" x14ac:dyDescent="0.35">
      <c r="A149" s="111" t="s">
        <v>17</v>
      </c>
      <c r="B149" s="31" t="s">
        <v>119</v>
      </c>
      <c r="C149" s="77">
        <f>1.383/252</f>
        <v>5.4999999999999997E-3</v>
      </c>
      <c r="D149" s="133">
        <f>C149*$D$145</f>
        <v>18.940000000000001</v>
      </c>
    </row>
    <row r="150" spans="1:4" outlineLevel="2" x14ac:dyDescent="0.35">
      <c r="A150" s="111" t="s">
        <v>19</v>
      </c>
      <c r="B150" s="31" t="s">
        <v>117</v>
      </c>
      <c r="C150" s="77">
        <f>1.3892/252</f>
        <v>5.4999999999999997E-3</v>
      </c>
      <c r="D150" s="133">
        <f t="shared" ref="D150:D153" si="1">C150*$D$145</f>
        <v>18.940000000000001</v>
      </c>
    </row>
    <row r="151" spans="1:4" outlineLevel="2" x14ac:dyDescent="0.35">
      <c r="A151" s="111" t="s">
        <v>22</v>
      </c>
      <c r="B151" s="31" t="s">
        <v>67</v>
      </c>
      <c r="C151" s="77">
        <f>0.65/252</f>
        <v>2.5999999999999999E-3</v>
      </c>
      <c r="D151" s="133">
        <f t="shared" si="1"/>
        <v>8.9499999999999993</v>
      </c>
    </row>
    <row r="152" spans="1:4" outlineLevel="2" x14ac:dyDescent="0.35">
      <c r="A152" s="111" t="s">
        <v>24</v>
      </c>
      <c r="B152" s="31" t="s">
        <v>68</v>
      </c>
      <c r="C152" s="77">
        <f>0.5052/252</f>
        <v>2E-3</v>
      </c>
      <c r="D152" s="133">
        <f t="shared" si="1"/>
        <v>6.89</v>
      </c>
    </row>
    <row r="153" spans="1:4" outlineLevel="2" x14ac:dyDescent="0.35">
      <c r="A153" s="111" t="s">
        <v>36</v>
      </c>
      <c r="B153" s="61" t="s">
        <v>235</v>
      </c>
      <c r="C153" s="69">
        <f>0.2/252</f>
        <v>8.0000000000000004E-4</v>
      </c>
      <c r="D153" s="133">
        <f t="shared" si="1"/>
        <v>2.75</v>
      </c>
    </row>
    <row r="154" spans="1:4" outlineLevel="1" x14ac:dyDescent="0.35">
      <c r="A154" s="644" t="s">
        <v>226</v>
      </c>
      <c r="B154" s="645"/>
      <c r="C154" s="30">
        <f>SUM(C148:C153)</f>
        <v>3.6200000000000003E-2</v>
      </c>
      <c r="D154" s="116">
        <f>SUM(D148:D153)</f>
        <v>124.64</v>
      </c>
    </row>
    <row r="155" spans="1:4" outlineLevel="1" x14ac:dyDescent="0.35">
      <c r="A155" s="658"/>
      <c r="B155" s="659"/>
      <c r="C155" s="659"/>
      <c r="D155" s="660"/>
    </row>
    <row r="156" spans="1:4" outlineLevel="1" x14ac:dyDescent="0.35">
      <c r="A156" s="661" t="s">
        <v>236</v>
      </c>
      <c r="B156" s="666"/>
      <c r="C156" s="30" t="s">
        <v>237</v>
      </c>
      <c r="D156" s="110" t="s">
        <v>35</v>
      </c>
    </row>
    <row r="157" spans="1:4" outlineLevel="2" x14ac:dyDescent="0.4">
      <c r="A157" s="667" t="s">
        <v>238</v>
      </c>
      <c r="B157" s="142" t="s">
        <v>239</v>
      </c>
      <c r="C157" s="95">
        <f>C153</f>
        <v>8.0000000000000004E-4</v>
      </c>
      <c r="D157" s="147">
        <f>C157*-D140</f>
        <v>-1.4</v>
      </c>
    </row>
    <row r="158" spans="1:4" outlineLevel="2" x14ac:dyDescent="0.4">
      <c r="A158" s="667"/>
      <c r="B158" s="148" t="s">
        <v>240</v>
      </c>
      <c r="C158" s="96">
        <v>0</v>
      </c>
      <c r="D158" s="149">
        <f>C158*-(D140/220/24*5)</f>
        <v>0</v>
      </c>
    </row>
    <row r="159" spans="1:4" outlineLevel="2" x14ac:dyDescent="0.4">
      <c r="A159" s="667"/>
      <c r="B159" s="148" t="s">
        <v>241</v>
      </c>
      <c r="C159" s="96">
        <v>0</v>
      </c>
      <c r="D159" s="149">
        <f>C159*-D141</f>
        <v>0</v>
      </c>
    </row>
    <row r="160" spans="1:4" outlineLevel="2" x14ac:dyDescent="0.4">
      <c r="A160" s="667"/>
      <c r="B160" s="142" t="s">
        <v>242</v>
      </c>
      <c r="C160" s="95">
        <f>C154</f>
        <v>3.6200000000000003E-2</v>
      </c>
      <c r="D160" s="147">
        <f>C160*-D66</f>
        <v>-3.49</v>
      </c>
    </row>
    <row r="161" spans="1:4" outlineLevel="2" x14ac:dyDescent="0.4">
      <c r="A161" s="667"/>
      <c r="B161" s="142" t="s">
        <v>243</v>
      </c>
      <c r="C161" s="95">
        <f>C154</f>
        <v>3.6200000000000003E-2</v>
      </c>
      <c r="D161" s="147">
        <f>C161*-D69</f>
        <v>-10.5</v>
      </c>
    </row>
    <row r="162" spans="1:4" outlineLevel="2" x14ac:dyDescent="0.4">
      <c r="A162" s="667"/>
      <c r="B162" s="145" t="s">
        <v>244</v>
      </c>
      <c r="C162" s="95">
        <f>C153</f>
        <v>8.0000000000000004E-4</v>
      </c>
      <c r="D162" s="147">
        <f>C162*-D74</f>
        <v>-0.02</v>
      </c>
    </row>
    <row r="163" spans="1:4" outlineLevel="2" x14ac:dyDescent="0.35">
      <c r="A163" s="667"/>
      <c r="B163" s="145" t="s">
        <v>245</v>
      </c>
      <c r="C163" s="97">
        <f>C152</f>
        <v>2E-3</v>
      </c>
      <c r="D163" s="133">
        <f>C163*-SUM(D55:D61)</f>
        <v>-1.1100000000000001</v>
      </c>
    </row>
    <row r="164" spans="1:4" outlineLevel="2" x14ac:dyDescent="0.4">
      <c r="A164" s="667"/>
      <c r="B164" s="142" t="s">
        <v>246</v>
      </c>
      <c r="C164" s="95">
        <f>C153</f>
        <v>8.0000000000000004E-4</v>
      </c>
      <c r="D164" s="147">
        <f>C164*-D142</f>
        <v>-0.62</v>
      </c>
    </row>
    <row r="165" spans="1:4" outlineLevel="1" x14ac:dyDescent="0.35">
      <c r="A165" s="644" t="s">
        <v>247</v>
      </c>
      <c r="B165" s="645"/>
      <c r="C165" s="30">
        <f>D165/D140</f>
        <v>-9.7999999999999997E-3</v>
      </c>
      <c r="D165" s="116">
        <f>SUM(D157:D164)</f>
        <v>-17.14</v>
      </c>
    </row>
    <row r="166" spans="1:4" outlineLevel="1" x14ac:dyDescent="0.35">
      <c r="A166" s="658"/>
      <c r="B166" s="659"/>
      <c r="C166" s="659"/>
      <c r="D166" s="660"/>
    </row>
    <row r="167" spans="1:4" outlineLevel="1" x14ac:dyDescent="0.35">
      <c r="A167" s="644" t="s">
        <v>248</v>
      </c>
      <c r="B167" s="645"/>
      <c r="C167" s="30">
        <f>D167/D140</f>
        <v>6.1400000000000003E-2</v>
      </c>
      <c r="D167" s="116">
        <f>D154+D165</f>
        <v>107.5</v>
      </c>
    </row>
    <row r="168" spans="1:4" outlineLevel="1" x14ac:dyDescent="0.35">
      <c r="A168" s="658"/>
      <c r="B168" s="659"/>
      <c r="C168" s="659"/>
      <c r="D168" s="660"/>
    </row>
    <row r="169" spans="1:4" outlineLevel="1" x14ac:dyDescent="0.35">
      <c r="A169" s="661" t="s">
        <v>249</v>
      </c>
      <c r="B169" s="662"/>
      <c r="C169" s="110" t="s">
        <v>44</v>
      </c>
      <c r="D169" s="110" t="s">
        <v>35</v>
      </c>
    </row>
    <row r="170" spans="1:4" outlineLevel="1" x14ac:dyDescent="0.35">
      <c r="A170" s="111" t="s">
        <v>65</v>
      </c>
      <c r="B170" s="31" t="s">
        <v>214</v>
      </c>
      <c r="C170" s="34"/>
      <c r="D170" s="150">
        <f>D138</f>
        <v>226.28</v>
      </c>
    </row>
    <row r="171" spans="1:4" outlineLevel="1" x14ac:dyDescent="0.35">
      <c r="A171" s="111" t="s">
        <v>233</v>
      </c>
      <c r="B171" s="31" t="s">
        <v>234</v>
      </c>
      <c r="C171" s="34"/>
      <c r="D171" s="150">
        <f>D167</f>
        <v>107.5</v>
      </c>
    </row>
    <row r="172" spans="1:4" x14ac:dyDescent="0.35">
      <c r="A172" s="644" t="s">
        <v>11</v>
      </c>
      <c r="B172" s="657"/>
      <c r="C172" s="645"/>
      <c r="D172" s="119">
        <f>SUM(D170:D171)</f>
        <v>333.78</v>
      </c>
    </row>
    <row r="173" spans="1:4" x14ac:dyDescent="0.35">
      <c r="A173" s="658"/>
      <c r="B173" s="659"/>
      <c r="C173" s="659"/>
      <c r="D173" s="660"/>
    </row>
    <row r="174" spans="1:4" x14ac:dyDescent="0.35">
      <c r="A174" s="663" t="s">
        <v>69</v>
      </c>
      <c r="B174" s="664"/>
      <c r="C174" s="664"/>
      <c r="D174" s="665"/>
    </row>
    <row r="175" spans="1:4" outlineLevel="1" x14ac:dyDescent="0.35">
      <c r="A175" s="658"/>
      <c r="B175" s="659"/>
      <c r="C175" s="659"/>
      <c r="D175" s="660"/>
    </row>
    <row r="176" spans="1:4" outlineLevel="1" x14ac:dyDescent="0.35">
      <c r="A176" s="64">
        <v>5</v>
      </c>
      <c r="B176" s="644" t="s">
        <v>250</v>
      </c>
      <c r="C176" s="645"/>
      <c r="D176" s="110" t="s">
        <v>35</v>
      </c>
    </row>
    <row r="177" spans="1:4" outlineLevel="1" x14ac:dyDescent="0.35">
      <c r="A177" s="111" t="s">
        <v>36</v>
      </c>
      <c r="B177" s="655" t="s">
        <v>343</v>
      </c>
      <c r="C177" s="656"/>
      <c r="D177" s="133">
        <f>INSUMOS!H12</f>
        <v>25.07</v>
      </c>
    </row>
    <row r="178" spans="1:4" outlineLevel="1" x14ac:dyDescent="0.35">
      <c r="A178" s="111" t="s">
        <v>16</v>
      </c>
      <c r="B178" s="655" t="s">
        <v>369</v>
      </c>
      <c r="C178" s="656"/>
      <c r="D178" s="151">
        <f>INSUMOS!H32</f>
        <v>41.35</v>
      </c>
    </row>
    <row r="179" spans="1:4" outlineLevel="1" x14ac:dyDescent="0.35">
      <c r="A179" s="111" t="s">
        <v>17</v>
      </c>
      <c r="B179" s="640" t="s">
        <v>326</v>
      </c>
      <c r="C179" s="642"/>
      <c r="D179" s="151">
        <f>MATERIAIS!I125</f>
        <v>423.82</v>
      </c>
    </row>
    <row r="180" spans="1:4" outlineLevel="1" x14ac:dyDescent="0.35">
      <c r="A180" s="111" t="s">
        <v>19</v>
      </c>
      <c r="B180" s="640" t="s">
        <v>325</v>
      </c>
      <c r="C180" s="642"/>
      <c r="D180" s="151">
        <f>EQUIPAMENTOS!J134</f>
        <v>12.24</v>
      </c>
    </row>
    <row r="181" spans="1:4" outlineLevel="1" x14ac:dyDescent="0.35">
      <c r="A181" s="111" t="s">
        <v>22</v>
      </c>
      <c r="B181" s="705" t="s">
        <v>39</v>
      </c>
      <c r="C181" s="706"/>
      <c r="D181" s="130">
        <v>0</v>
      </c>
    </row>
    <row r="182" spans="1:4" outlineLevel="1" x14ac:dyDescent="0.35">
      <c r="A182" s="111" t="s">
        <v>24</v>
      </c>
      <c r="B182" s="705" t="s">
        <v>39</v>
      </c>
      <c r="C182" s="706"/>
      <c r="D182" s="130">
        <v>0</v>
      </c>
    </row>
    <row r="183" spans="1:4" x14ac:dyDescent="0.35">
      <c r="A183" s="644" t="s">
        <v>11</v>
      </c>
      <c r="B183" s="657"/>
      <c r="C183" s="645"/>
      <c r="D183" s="116">
        <f>SUM(D177:D181)</f>
        <v>502.48</v>
      </c>
    </row>
    <row r="184" spans="1:4" x14ac:dyDescent="0.35">
      <c r="A184" s="646"/>
      <c r="B184" s="647"/>
      <c r="C184" s="647"/>
      <c r="D184" s="648"/>
    </row>
    <row r="185" spans="1:4" x14ac:dyDescent="0.35">
      <c r="A185" s="649" t="s">
        <v>70</v>
      </c>
      <c r="B185" s="649"/>
      <c r="C185" s="649"/>
      <c r="D185" s="152">
        <f>D39+D83+D126+D172+D183</f>
        <v>4130.8100000000004</v>
      </c>
    </row>
    <row r="186" spans="1:4" x14ac:dyDescent="0.35">
      <c r="A186" s="650"/>
      <c r="B186" s="650"/>
      <c r="C186" s="650"/>
      <c r="D186" s="650"/>
    </row>
    <row r="187" spans="1:4" x14ac:dyDescent="0.35">
      <c r="A187" s="651" t="s">
        <v>71</v>
      </c>
      <c r="B187" s="651"/>
      <c r="C187" s="651"/>
      <c r="D187" s="651"/>
    </row>
    <row r="188" spans="1:4" outlineLevel="1" x14ac:dyDescent="0.35">
      <c r="A188" s="652"/>
      <c r="B188" s="653"/>
      <c r="C188" s="653"/>
      <c r="D188" s="654"/>
    </row>
    <row r="189" spans="1:4" outlineLevel="1" x14ac:dyDescent="0.35">
      <c r="A189" s="64">
        <v>6</v>
      </c>
      <c r="B189" s="117" t="s">
        <v>72</v>
      </c>
      <c r="C189" s="110" t="s">
        <v>44</v>
      </c>
      <c r="D189" s="110" t="s">
        <v>35</v>
      </c>
    </row>
    <row r="190" spans="1:4" outlineLevel="1" x14ac:dyDescent="0.35">
      <c r="A190" s="111" t="s">
        <v>36</v>
      </c>
      <c r="B190" s="31" t="s">
        <v>73</v>
      </c>
      <c r="C190" s="70">
        <f>'SR - ASG int'!C189</f>
        <v>2.6499999999999999E-2</v>
      </c>
      <c r="D190" s="105">
        <f>C190*D185</f>
        <v>109.47</v>
      </c>
    </row>
    <row r="191" spans="1:4" outlineLevel="1" x14ac:dyDescent="0.35">
      <c r="A191" s="638" t="s">
        <v>1</v>
      </c>
      <c r="B191" s="639"/>
      <c r="C191" s="643"/>
      <c r="D191" s="105">
        <f>D185+D190</f>
        <v>4240.28</v>
      </c>
    </row>
    <row r="192" spans="1:4" outlineLevel="1" x14ac:dyDescent="0.35">
      <c r="A192" s="111" t="s">
        <v>16</v>
      </c>
      <c r="B192" s="31" t="s">
        <v>74</v>
      </c>
      <c r="C192" s="70">
        <f>'SR - ASG int'!C191</f>
        <v>0.1087</v>
      </c>
      <c r="D192" s="105">
        <f>C192*D191</f>
        <v>460.92</v>
      </c>
    </row>
    <row r="193" spans="1:4" outlineLevel="1" x14ac:dyDescent="0.35">
      <c r="A193" s="638" t="s">
        <v>1</v>
      </c>
      <c r="B193" s="639"/>
      <c r="C193" s="639"/>
      <c r="D193" s="105">
        <f>D192+D191</f>
        <v>4701.2</v>
      </c>
    </row>
    <row r="194" spans="1:4" outlineLevel="1" x14ac:dyDescent="0.35">
      <c r="A194" s="111" t="s">
        <v>17</v>
      </c>
      <c r="B194" s="640" t="s">
        <v>75</v>
      </c>
      <c r="C194" s="641"/>
      <c r="D194" s="642"/>
    </row>
    <row r="195" spans="1:4" outlineLevel="1" x14ac:dyDescent="0.35">
      <c r="A195" s="153"/>
      <c r="B195" s="63" t="s">
        <v>76</v>
      </c>
      <c r="C195" s="70">
        <v>6.4999999999999997E-3</v>
      </c>
      <c r="D195" s="105">
        <f>(D193/(1-C198)*C195)</f>
        <v>32.729999999999997</v>
      </c>
    </row>
    <row r="196" spans="1:4" outlineLevel="1" x14ac:dyDescent="0.35">
      <c r="A196" s="153"/>
      <c r="B196" s="63" t="s">
        <v>77</v>
      </c>
      <c r="C196" s="70">
        <v>0.03</v>
      </c>
      <c r="D196" s="105">
        <f>(D193/(1-C198)*C196)</f>
        <v>151.08000000000001</v>
      </c>
    </row>
    <row r="197" spans="1:4" outlineLevel="1" x14ac:dyDescent="0.35">
      <c r="A197" s="153"/>
      <c r="B197" s="63" t="s">
        <v>296</v>
      </c>
      <c r="C197" s="51">
        <v>0.03</v>
      </c>
      <c r="D197" s="105">
        <f>(D193/(1-C198)*C197)</f>
        <v>151.08000000000001</v>
      </c>
    </row>
    <row r="198" spans="1:4" outlineLevel="1" x14ac:dyDescent="0.35">
      <c r="A198" s="638" t="s">
        <v>78</v>
      </c>
      <c r="B198" s="643"/>
      <c r="C198" s="52">
        <f>SUM(C195:C197)</f>
        <v>6.6500000000000004E-2</v>
      </c>
      <c r="D198" s="105">
        <f>SUM(D195:D197)</f>
        <v>334.89</v>
      </c>
    </row>
    <row r="199" spans="1:4" x14ac:dyDescent="0.35">
      <c r="A199" s="644" t="s">
        <v>11</v>
      </c>
      <c r="B199" s="645"/>
      <c r="C199" s="53">
        <f>(1+C190)*(1+C192)*(1/(1-C198))-1</f>
        <v>0.21920000000000001</v>
      </c>
      <c r="D199" s="108">
        <f>SUM(D198+D190+D192)</f>
        <v>905.28</v>
      </c>
    </row>
    <row r="200" spans="1:4" x14ac:dyDescent="0.35">
      <c r="A200" s="646"/>
      <c r="B200" s="647"/>
      <c r="C200" s="647"/>
      <c r="D200" s="648"/>
    </row>
    <row r="201" spans="1:4" x14ac:dyDescent="0.35">
      <c r="A201" s="634" t="s">
        <v>79</v>
      </c>
      <c r="B201" s="635"/>
      <c r="C201" s="636"/>
      <c r="D201" s="54" t="s">
        <v>35</v>
      </c>
    </row>
    <row r="202" spans="1:4" x14ac:dyDescent="0.35">
      <c r="A202" s="632" t="s">
        <v>80</v>
      </c>
      <c r="B202" s="637"/>
      <c r="C202" s="637"/>
      <c r="D202" s="633"/>
    </row>
    <row r="203" spans="1:4" x14ac:dyDescent="0.35">
      <c r="A203" s="65" t="s">
        <v>36</v>
      </c>
      <c r="B203" s="632" t="s">
        <v>81</v>
      </c>
      <c r="C203" s="633"/>
      <c r="D203" s="104">
        <f>D39</f>
        <v>1751.15</v>
      </c>
    </row>
    <row r="204" spans="1:4" x14ac:dyDescent="0.35">
      <c r="A204" s="65" t="s">
        <v>16</v>
      </c>
      <c r="B204" s="632" t="s">
        <v>82</v>
      </c>
      <c r="C204" s="633"/>
      <c r="D204" s="104">
        <f>D83</f>
        <v>1399.01</v>
      </c>
    </row>
    <row r="205" spans="1:4" x14ac:dyDescent="0.35">
      <c r="A205" s="65" t="s">
        <v>17</v>
      </c>
      <c r="B205" s="632" t="s">
        <v>83</v>
      </c>
      <c r="C205" s="633"/>
      <c r="D205" s="104">
        <f>D126</f>
        <v>144.38999999999999</v>
      </c>
    </row>
    <row r="206" spans="1:4" x14ac:dyDescent="0.35">
      <c r="A206" s="65" t="s">
        <v>19</v>
      </c>
      <c r="B206" s="632" t="s">
        <v>84</v>
      </c>
      <c r="C206" s="633"/>
      <c r="D206" s="104">
        <f>D172</f>
        <v>333.78</v>
      </c>
    </row>
    <row r="207" spans="1:4" x14ac:dyDescent="0.35">
      <c r="A207" s="65" t="s">
        <v>22</v>
      </c>
      <c r="B207" s="632" t="s">
        <v>85</v>
      </c>
      <c r="C207" s="633"/>
      <c r="D207" s="104">
        <f>D183</f>
        <v>502.48</v>
      </c>
    </row>
    <row r="208" spans="1:4" x14ac:dyDescent="0.4">
      <c r="A208" s="629" t="s">
        <v>86</v>
      </c>
      <c r="B208" s="630"/>
      <c r="C208" s="631"/>
      <c r="D208" s="104">
        <f>SUM(D203:D207)</f>
        <v>4130.8100000000004</v>
      </c>
    </row>
    <row r="209" spans="1:4" x14ac:dyDescent="0.35">
      <c r="A209" s="65" t="s">
        <v>87</v>
      </c>
      <c r="B209" s="632" t="s">
        <v>88</v>
      </c>
      <c r="C209" s="633"/>
      <c r="D209" s="104">
        <f>D199</f>
        <v>905.28</v>
      </c>
    </row>
    <row r="210" spans="1:4" x14ac:dyDescent="0.35">
      <c r="A210" s="634" t="s">
        <v>89</v>
      </c>
      <c r="B210" s="635"/>
      <c r="C210" s="636"/>
      <c r="D210" s="154">
        <f xml:space="preserve"> D208+D209</f>
        <v>5036.09</v>
      </c>
    </row>
    <row r="211" spans="1:4" x14ac:dyDescent="0.4">
      <c r="A211" s="24"/>
      <c r="B211" s="24"/>
      <c r="C211" s="24"/>
      <c r="D211" s="24"/>
    </row>
    <row r="212" spans="1:4" thickBot="1" x14ac:dyDescent="0.4">
      <c r="A212" s="17"/>
      <c r="B212" s="17"/>
      <c r="C212" s="17"/>
      <c r="D212" s="17"/>
    </row>
    <row r="213" spans="1:4" x14ac:dyDescent="0.35">
      <c r="A213" s="702" t="s">
        <v>274</v>
      </c>
      <c r="B213" s="703"/>
      <c r="C213" s="703"/>
      <c r="D213" s="704"/>
    </row>
    <row r="214" spans="1:4" ht="30" x14ac:dyDescent="0.35">
      <c r="A214" s="170" t="s">
        <v>275</v>
      </c>
      <c r="B214" s="171" t="s">
        <v>278</v>
      </c>
      <c r="C214" s="172" t="s">
        <v>276</v>
      </c>
      <c r="D214" s="173" t="s">
        <v>277</v>
      </c>
    </row>
    <row r="215" spans="1:4" ht="15.5" thickBot="1" x14ac:dyDescent="0.4">
      <c r="A215" s="174">
        <v>1</v>
      </c>
      <c r="B215" s="178">
        <f>1/(C11/A215)</f>
        <v>1.2594458438E-3</v>
      </c>
      <c r="C215" s="175">
        <f>D210</f>
        <v>5036.09</v>
      </c>
      <c r="D215" s="181">
        <f>C215*B215</f>
        <v>6.3426826199999997</v>
      </c>
    </row>
  </sheetData>
  <mergeCells count="108">
    <mergeCell ref="B206:C206"/>
    <mergeCell ref="B207:C207"/>
    <mergeCell ref="A208:C208"/>
    <mergeCell ref="B209:C209"/>
    <mergeCell ref="A210:C210"/>
    <mergeCell ref="A213:D213"/>
    <mergeCell ref="A200:D200"/>
    <mergeCell ref="A201:C201"/>
    <mergeCell ref="A202:D202"/>
    <mergeCell ref="B203:C203"/>
    <mergeCell ref="B204:C204"/>
    <mergeCell ref="B205:C205"/>
    <mergeCell ref="A188:D188"/>
    <mergeCell ref="A191:C191"/>
    <mergeCell ref="A193:C193"/>
    <mergeCell ref="B194:D194"/>
    <mergeCell ref="A198:B198"/>
    <mergeCell ref="A199:B199"/>
    <mergeCell ref="B182:C182"/>
    <mergeCell ref="A183:C183"/>
    <mergeCell ref="A184:D184"/>
    <mergeCell ref="A185:C185"/>
    <mergeCell ref="A186:D186"/>
    <mergeCell ref="A187:D187"/>
    <mergeCell ref="B176:C176"/>
    <mergeCell ref="B177:C177"/>
    <mergeCell ref="B178:C178"/>
    <mergeCell ref="B179:C179"/>
    <mergeCell ref="B180:C180"/>
    <mergeCell ref="B181:C181"/>
    <mergeCell ref="A168:D168"/>
    <mergeCell ref="A169:B169"/>
    <mergeCell ref="A172:C172"/>
    <mergeCell ref="A173:D173"/>
    <mergeCell ref="A174:D174"/>
    <mergeCell ref="A175:D175"/>
    <mergeCell ref="A155:D155"/>
    <mergeCell ref="A156:B156"/>
    <mergeCell ref="A157:A164"/>
    <mergeCell ref="A165:B165"/>
    <mergeCell ref="A166:D166"/>
    <mergeCell ref="A167:B167"/>
    <mergeCell ref="A138:B138"/>
    <mergeCell ref="A139:D139"/>
    <mergeCell ref="A140:A144"/>
    <mergeCell ref="A145:B145"/>
    <mergeCell ref="A146:D146"/>
    <mergeCell ref="A154:B154"/>
    <mergeCell ref="A123:B123"/>
    <mergeCell ref="A124:B124"/>
    <mergeCell ref="A126:B126"/>
    <mergeCell ref="A127:D127"/>
    <mergeCell ref="A128:D128"/>
    <mergeCell ref="A129:D129"/>
    <mergeCell ref="A112:D112"/>
    <mergeCell ref="A116:B116"/>
    <mergeCell ref="A117:D117"/>
    <mergeCell ref="A118:B118"/>
    <mergeCell ref="A121:C121"/>
    <mergeCell ref="A122:B122"/>
    <mergeCell ref="A84:D84"/>
    <mergeCell ref="A85:D85"/>
    <mergeCell ref="A86:D86"/>
    <mergeCell ref="A99:B99"/>
    <mergeCell ref="A100:D100"/>
    <mergeCell ref="A111:B111"/>
    <mergeCell ref="A63:B63"/>
    <mergeCell ref="A64:D64"/>
    <mergeCell ref="A77:C77"/>
    <mergeCell ref="A78:D78"/>
    <mergeCell ref="A79:B79"/>
    <mergeCell ref="A83:C83"/>
    <mergeCell ref="A45:B45"/>
    <mergeCell ref="A46:D46"/>
    <mergeCell ref="A47:D47"/>
    <mergeCell ref="A48:D48"/>
    <mergeCell ref="A52:B52"/>
    <mergeCell ref="A53:D53"/>
    <mergeCell ref="A23:D23"/>
    <mergeCell ref="A24:D24"/>
    <mergeCell ref="A25:D25"/>
    <mergeCell ref="B26:C26"/>
    <mergeCell ref="A39:C39"/>
    <mergeCell ref="A40:D40"/>
    <mergeCell ref="C17:D17"/>
    <mergeCell ref="A18:D18"/>
    <mergeCell ref="B19:C19"/>
    <mergeCell ref="B20:C20"/>
    <mergeCell ref="B21:C21"/>
    <mergeCell ref="B22:C22"/>
    <mergeCell ref="C11:D11"/>
    <mergeCell ref="C12:D12"/>
    <mergeCell ref="A13:D13"/>
    <mergeCell ref="A14:D14"/>
    <mergeCell ref="A15:D15"/>
    <mergeCell ref="C16:D16"/>
    <mergeCell ref="A5:D5"/>
    <mergeCell ref="C6:D6"/>
    <mergeCell ref="C7:D7"/>
    <mergeCell ref="C8:D8"/>
    <mergeCell ref="C9:D9"/>
    <mergeCell ref="C10:D10"/>
    <mergeCell ref="A1:D1"/>
    <mergeCell ref="A2:B2"/>
    <mergeCell ref="C2:D2"/>
    <mergeCell ref="A3:B3"/>
    <mergeCell ref="C3:D3"/>
    <mergeCell ref="A4:D4"/>
  </mergeCells>
  <pageMargins left="0.51181102362204722" right="0.51181102362204722" top="0.78740157480314965" bottom="0.78740157480314965" header="0.31496062992125984" footer="0.31496062992125984"/>
  <pageSetup scale="22" orientation="portrait" horizontalDpi="30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89A23A-0DF5-44B9-8984-32CB8FA9CEBF}">
  <sheetPr codeName="Planilha15">
    <pageSetUpPr fitToPage="1"/>
  </sheetPr>
  <dimension ref="A1:D215"/>
  <sheetViews>
    <sheetView view="pageBreakPreview" topLeftCell="A64" zoomScale="85" zoomScaleNormal="85" zoomScaleSheetLayoutView="85" workbookViewId="0">
      <pane ySplit="4830" topLeftCell="A189"/>
      <selection activeCell="E75" sqref="E75"/>
      <selection pane="bottomLeft" activeCell="A189" sqref="A189:XFD189"/>
    </sheetView>
  </sheetViews>
  <sheetFormatPr defaultColWidth="9.1796875" defaultRowHeight="15" customHeight="1" outlineLevelRow="3" x14ac:dyDescent="0.35"/>
  <cols>
    <col min="1" max="1" width="16.7265625" customWidth="1"/>
    <col min="2" max="2" width="76.81640625" customWidth="1"/>
    <col min="3" max="3" width="22.81640625" customWidth="1"/>
    <col min="4" max="4" width="23.54296875" customWidth="1"/>
  </cols>
  <sheetData>
    <row r="1" spans="1:4" x14ac:dyDescent="0.35">
      <c r="A1" s="683" t="s">
        <v>6</v>
      </c>
      <c r="B1" s="683"/>
      <c r="C1" s="683"/>
      <c r="D1" s="683"/>
    </row>
    <row r="2" spans="1:4" x14ac:dyDescent="0.35">
      <c r="A2" s="684" t="s">
        <v>12</v>
      </c>
      <c r="B2" s="684"/>
      <c r="C2" s="685" t="s">
        <v>519</v>
      </c>
      <c r="D2" s="686"/>
    </row>
    <row r="3" spans="1:4" x14ac:dyDescent="0.35">
      <c r="A3" s="684" t="s">
        <v>13</v>
      </c>
      <c r="B3" s="684"/>
      <c r="C3" s="685" t="s">
        <v>520</v>
      </c>
      <c r="D3" s="686"/>
    </row>
    <row r="4" spans="1:4" x14ac:dyDescent="0.35">
      <c r="A4" s="687"/>
      <c r="B4" s="687"/>
      <c r="C4" s="687"/>
      <c r="D4" s="687"/>
    </row>
    <row r="5" spans="1:4" x14ac:dyDescent="0.35">
      <c r="A5" s="687" t="s">
        <v>14</v>
      </c>
      <c r="B5" s="687"/>
      <c r="C5" s="687"/>
      <c r="D5" s="687"/>
    </row>
    <row r="6" spans="1:4" x14ac:dyDescent="0.35">
      <c r="A6" s="65" t="s">
        <v>15</v>
      </c>
      <c r="B6" s="63" t="s">
        <v>5</v>
      </c>
      <c r="C6" s="707" t="s">
        <v>144</v>
      </c>
      <c r="D6" s="708"/>
    </row>
    <row r="7" spans="1:4" x14ac:dyDescent="0.35">
      <c r="A7" s="65" t="s">
        <v>16</v>
      </c>
      <c r="B7" s="63" t="s">
        <v>4</v>
      </c>
      <c r="C7" s="690" t="s">
        <v>504</v>
      </c>
      <c r="D7" s="690"/>
    </row>
    <row r="8" spans="1:4" x14ac:dyDescent="0.35">
      <c r="A8" s="25" t="s">
        <v>17</v>
      </c>
      <c r="B8" s="26" t="s">
        <v>18</v>
      </c>
      <c r="C8" s="722" t="s">
        <v>521</v>
      </c>
      <c r="D8" s="723"/>
    </row>
    <row r="9" spans="1:4" x14ac:dyDescent="0.35">
      <c r="A9" s="65" t="s">
        <v>19</v>
      </c>
      <c r="B9" s="63" t="s">
        <v>20</v>
      </c>
      <c r="C9" s="700" t="s">
        <v>21</v>
      </c>
      <c r="D9" s="701"/>
    </row>
    <row r="10" spans="1:4" x14ac:dyDescent="0.35">
      <c r="A10" s="65" t="s">
        <v>22</v>
      </c>
      <c r="B10" s="63" t="s">
        <v>23</v>
      </c>
      <c r="C10" s="700" t="s">
        <v>262</v>
      </c>
      <c r="D10" s="701"/>
    </row>
    <row r="11" spans="1:4" x14ac:dyDescent="0.35">
      <c r="A11" s="65" t="s">
        <v>24</v>
      </c>
      <c r="B11" s="63" t="s">
        <v>251</v>
      </c>
      <c r="C11" s="691">
        <f>Resumo!F15/2</f>
        <v>855.94</v>
      </c>
      <c r="D11" s="692"/>
    </row>
    <row r="12" spans="1:4" x14ac:dyDescent="0.35">
      <c r="A12" s="65" t="s">
        <v>25</v>
      </c>
      <c r="B12" s="63" t="s">
        <v>26</v>
      </c>
      <c r="C12" s="693">
        <f>Resumo!I5</f>
        <v>20</v>
      </c>
      <c r="D12" s="694"/>
    </row>
    <row r="13" spans="1:4" x14ac:dyDescent="0.35">
      <c r="A13" s="695"/>
      <c r="B13" s="696"/>
      <c r="C13" s="696"/>
      <c r="D13" s="696"/>
    </row>
    <row r="14" spans="1:4" x14ac:dyDescent="0.35">
      <c r="A14" s="697" t="s">
        <v>27</v>
      </c>
      <c r="B14" s="698"/>
      <c r="C14" s="698"/>
      <c r="D14" s="699"/>
    </row>
    <row r="15" spans="1:4" x14ac:dyDescent="0.35">
      <c r="A15" s="690" t="s">
        <v>28</v>
      </c>
      <c r="B15" s="690"/>
      <c r="C15" s="690"/>
      <c r="D15" s="690"/>
    </row>
    <row r="16" spans="1:4" x14ac:dyDescent="0.35">
      <c r="A16" s="65">
        <v>1</v>
      </c>
      <c r="B16" s="63" t="s">
        <v>29</v>
      </c>
      <c r="C16" s="700" t="s">
        <v>266</v>
      </c>
      <c r="D16" s="701" t="s">
        <v>0</v>
      </c>
    </row>
    <row r="17" spans="1:4" x14ac:dyDescent="0.35">
      <c r="A17" s="65">
        <v>2</v>
      </c>
      <c r="B17" s="27" t="s">
        <v>30</v>
      </c>
      <c r="C17" s="688" t="s">
        <v>263</v>
      </c>
      <c r="D17" s="689"/>
    </row>
    <row r="18" spans="1:4" x14ac:dyDescent="0.35">
      <c r="A18" s="690" t="s">
        <v>31</v>
      </c>
      <c r="B18" s="690"/>
      <c r="C18" s="690"/>
      <c r="D18" s="690"/>
    </row>
    <row r="19" spans="1:4" x14ac:dyDescent="0.4">
      <c r="A19" s="65">
        <v>3</v>
      </c>
      <c r="B19" s="632" t="s">
        <v>3</v>
      </c>
      <c r="C19" s="633"/>
      <c r="D19" s="103">
        <v>1325</v>
      </c>
    </row>
    <row r="20" spans="1:4" x14ac:dyDescent="0.4">
      <c r="A20" s="65">
        <v>4</v>
      </c>
      <c r="B20" s="632" t="s">
        <v>252</v>
      </c>
      <c r="C20" s="633"/>
      <c r="D20" s="155">
        <v>220</v>
      </c>
    </row>
    <row r="21" spans="1:4" x14ac:dyDescent="0.35">
      <c r="A21" s="65">
        <v>5</v>
      </c>
      <c r="B21" s="632" t="s">
        <v>32</v>
      </c>
      <c r="C21" s="633"/>
      <c r="D21" s="73" t="s">
        <v>267</v>
      </c>
    </row>
    <row r="22" spans="1:4" x14ac:dyDescent="0.35">
      <c r="A22" s="65">
        <v>6</v>
      </c>
      <c r="B22" s="632" t="s">
        <v>2</v>
      </c>
      <c r="C22" s="633"/>
      <c r="D22" s="74">
        <v>44562</v>
      </c>
    </row>
    <row r="23" spans="1:4" x14ac:dyDescent="0.35">
      <c r="A23" s="700"/>
      <c r="B23" s="711"/>
      <c r="C23" s="711"/>
      <c r="D23" s="701"/>
    </row>
    <row r="24" spans="1:4" x14ac:dyDescent="0.35">
      <c r="A24" s="712" t="s">
        <v>33</v>
      </c>
      <c r="B24" s="712"/>
      <c r="C24" s="712"/>
      <c r="D24" s="712"/>
    </row>
    <row r="25" spans="1:4" x14ac:dyDescent="0.35">
      <c r="A25" s="713"/>
      <c r="B25" s="714"/>
      <c r="C25" s="714"/>
      <c r="D25" s="694"/>
    </row>
    <row r="26" spans="1:4" x14ac:dyDescent="0.35">
      <c r="A26" s="64">
        <v>1</v>
      </c>
      <c r="B26" s="634" t="s">
        <v>34</v>
      </c>
      <c r="C26" s="636"/>
      <c r="D26" s="64" t="s">
        <v>35</v>
      </c>
    </row>
    <row r="27" spans="1:4" outlineLevel="1" x14ac:dyDescent="0.35">
      <c r="A27" s="65" t="s">
        <v>36</v>
      </c>
      <c r="B27" s="63" t="s">
        <v>146</v>
      </c>
      <c r="C27" s="71">
        <f>'SR - ASG int'!C27</f>
        <v>220</v>
      </c>
      <c r="D27" s="104">
        <f>D19/220*C27</f>
        <v>1325</v>
      </c>
    </row>
    <row r="28" spans="1:4" outlineLevel="1" x14ac:dyDescent="0.35">
      <c r="A28" s="65" t="s">
        <v>16</v>
      </c>
      <c r="B28" s="63" t="s">
        <v>37</v>
      </c>
      <c r="C28" s="28">
        <v>0.1</v>
      </c>
      <c r="D28" s="104">
        <f>D27*10%</f>
        <v>132.5</v>
      </c>
    </row>
    <row r="29" spans="1:4" outlineLevel="1" x14ac:dyDescent="0.35">
      <c r="A29" s="65" t="s">
        <v>17</v>
      </c>
      <c r="B29" s="63" t="s">
        <v>38</v>
      </c>
      <c r="C29" s="28">
        <v>0.4</v>
      </c>
      <c r="D29" s="104">
        <v>0</v>
      </c>
    </row>
    <row r="30" spans="1:4" outlineLevel="1" x14ac:dyDescent="0.35">
      <c r="A30" s="65" t="s">
        <v>19</v>
      </c>
      <c r="B30" s="63" t="s">
        <v>148</v>
      </c>
      <c r="C30" s="156">
        <v>0</v>
      </c>
      <c r="D30" s="105">
        <f>SUM(D31:D32)</f>
        <v>0</v>
      </c>
    </row>
    <row r="31" spans="1:4" outlineLevel="2" x14ac:dyDescent="0.35">
      <c r="A31" s="78" t="s">
        <v>111</v>
      </c>
      <c r="B31" s="63" t="s">
        <v>149</v>
      </c>
      <c r="C31" s="79">
        <v>0.2</v>
      </c>
      <c r="D31" s="105">
        <f>(SUM(D27:D29)/C27)*C31*15*C30</f>
        <v>0</v>
      </c>
    </row>
    <row r="32" spans="1:4" outlineLevel="2" x14ac:dyDescent="0.35">
      <c r="A32" s="78" t="s">
        <v>112</v>
      </c>
      <c r="B32" s="63" t="s">
        <v>150</v>
      </c>
      <c r="C32" s="80">
        <f>C30*(60/52.5)/8</f>
        <v>0</v>
      </c>
      <c r="D32" s="105">
        <f>(SUM(D27:D29)/C27)*(C31)*15*C32</f>
        <v>0</v>
      </c>
    </row>
    <row r="33" spans="1:4" outlineLevel="1" x14ac:dyDescent="0.35">
      <c r="A33" s="65" t="s">
        <v>22</v>
      </c>
      <c r="B33" s="63" t="s">
        <v>151</v>
      </c>
      <c r="C33" s="28" t="s">
        <v>152</v>
      </c>
      <c r="D33" s="1">
        <f>SUM(D34:D37)</f>
        <v>0</v>
      </c>
    </row>
    <row r="34" spans="1:4" outlineLevel="2" x14ac:dyDescent="0.35">
      <c r="A34" s="81" t="s">
        <v>153</v>
      </c>
      <c r="B34" s="82" t="s">
        <v>154</v>
      </c>
      <c r="C34" s="83">
        <v>0</v>
      </c>
      <c r="D34" s="106">
        <f>(SUM($D$27:$D$29)/$C$27)*C34*1.5</f>
        <v>0</v>
      </c>
    </row>
    <row r="35" spans="1:4" outlineLevel="2" x14ac:dyDescent="0.35">
      <c r="A35" s="81" t="s">
        <v>155</v>
      </c>
      <c r="B35" s="84" t="s">
        <v>156</v>
      </c>
      <c r="C35" s="85">
        <v>0</v>
      </c>
      <c r="D35" s="106">
        <f>(SUM($D$27:$D$29)/$C$27)*C35*((60/52.5)*1.2*1.5)</f>
        <v>0</v>
      </c>
    </row>
    <row r="36" spans="1:4" outlineLevel="2" x14ac:dyDescent="0.35">
      <c r="A36" s="81" t="s">
        <v>157</v>
      </c>
      <c r="B36" s="82" t="s">
        <v>158</v>
      </c>
      <c r="C36" s="86">
        <f>C34*0.1429</f>
        <v>0</v>
      </c>
      <c r="D36" s="106">
        <f>(SUM($D$27:$D$29)/$C$27)*C36*2</f>
        <v>0</v>
      </c>
    </row>
    <row r="37" spans="1:4" outlineLevel="2" x14ac:dyDescent="0.35">
      <c r="A37" s="81" t="s">
        <v>159</v>
      </c>
      <c r="B37" s="82" t="s">
        <v>160</v>
      </c>
      <c r="C37" s="86">
        <f>C34*0.1429</f>
        <v>0</v>
      </c>
      <c r="D37" s="106">
        <f>(SUM($D$27:$D$29)/$C$27)*C37*((60/52.5)*1.2*2)</f>
        <v>0</v>
      </c>
    </row>
    <row r="38" spans="1:4" outlineLevel="1" x14ac:dyDescent="0.35">
      <c r="A38" s="65" t="s">
        <v>24</v>
      </c>
      <c r="B38" s="55" t="s">
        <v>39</v>
      </c>
      <c r="C38" s="56">
        <v>0</v>
      </c>
      <c r="D38" s="107">
        <v>0</v>
      </c>
    </row>
    <row r="39" spans="1:4" x14ac:dyDescent="0.35">
      <c r="A39" s="634" t="s">
        <v>40</v>
      </c>
      <c r="B39" s="635"/>
      <c r="C39" s="636"/>
      <c r="D39" s="108">
        <f>SUM(D27:D30,D33,D38)</f>
        <v>1457.5</v>
      </c>
    </row>
    <row r="40" spans="1:4" x14ac:dyDescent="0.35">
      <c r="A40" s="650"/>
      <c r="B40" s="650"/>
      <c r="C40" s="650"/>
      <c r="D40" s="650"/>
    </row>
    <row r="41" spans="1:4" outlineLevel="1" x14ac:dyDescent="0.35">
      <c r="A41" s="87" t="s">
        <v>161</v>
      </c>
      <c r="B41" s="109" t="s">
        <v>162</v>
      </c>
      <c r="C41" s="110" t="s">
        <v>163</v>
      </c>
      <c r="D41" s="110" t="s">
        <v>35</v>
      </c>
    </row>
    <row r="42" spans="1:4" outlineLevel="1" x14ac:dyDescent="0.35">
      <c r="A42" s="111" t="s">
        <v>36</v>
      </c>
      <c r="B42" s="27" t="s">
        <v>164</v>
      </c>
      <c r="C42" s="88">
        <v>0</v>
      </c>
      <c r="D42" s="112">
        <f>(SUM(D27)/$C$27)*C42*1.5</f>
        <v>0</v>
      </c>
    </row>
    <row r="43" spans="1:4" outlineLevel="1" x14ac:dyDescent="0.35">
      <c r="A43" s="113" t="s">
        <v>17</v>
      </c>
      <c r="B43" s="114" t="s">
        <v>165</v>
      </c>
      <c r="C43" s="115">
        <v>0</v>
      </c>
      <c r="D43" s="104">
        <f>C43*177</f>
        <v>0</v>
      </c>
    </row>
    <row r="44" spans="1:4" outlineLevel="1" x14ac:dyDescent="0.35">
      <c r="A44" s="65" t="s">
        <v>19</v>
      </c>
      <c r="B44" s="55" t="s">
        <v>39</v>
      </c>
      <c r="C44" s="56">
        <v>0</v>
      </c>
      <c r="D44" s="107">
        <v>0</v>
      </c>
    </row>
    <row r="45" spans="1:4" x14ac:dyDescent="0.35">
      <c r="A45" s="644" t="s">
        <v>166</v>
      </c>
      <c r="B45" s="645"/>
      <c r="C45" s="30">
        <f>D45/D39</f>
        <v>0</v>
      </c>
      <c r="D45" s="116">
        <f>SUM(D42:D43)</f>
        <v>0</v>
      </c>
    </row>
    <row r="46" spans="1:4" x14ac:dyDescent="0.35">
      <c r="A46" s="646"/>
      <c r="B46" s="647"/>
      <c r="C46" s="647"/>
      <c r="D46" s="648"/>
    </row>
    <row r="47" spans="1:4" x14ac:dyDescent="0.35">
      <c r="A47" s="663" t="s">
        <v>41</v>
      </c>
      <c r="B47" s="664"/>
      <c r="C47" s="664"/>
      <c r="D47" s="665"/>
    </row>
    <row r="48" spans="1:4" outlineLevel="1" x14ac:dyDescent="0.35">
      <c r="A48" s="646"/>
      <c r="B48" s="647"/>
      <c r="C48" s="647"/>
      <c r="D48" s="648"/>
    </row>
    <row r="49" spans="1:4" outlineLevel="1" x14ac:dyDescent="0.35">
      <c r="A49" s="110" t="s">
        <v>42</v>
      </c>
      <c r="B49" s="109" t="s">
        <v>43</v>
      </c>
      <c r="C49" s="110" t="s">
        <v>44</v>
      </c>
      <c r="D49" s="110" t="s">
        <v>35</v>
      </c>
    </row>
    <row r="50" spans="1:4" outlineLevel="2" x14ac:dyDescent="0.35">
      <c r="A50" s="113" t="s">
        <v>36</v>
      </c>
      <c r="B50" s="114" t="s">
        <v>45</v>
      </c>
      <c r="C50" s="29">
        <f>1/12</f>
        <v>8.3299999999999999E-2</v>
      </c>
      <c r="D50" s="104">
        <f>C50*D39</f>
        <v>121.41</v>
      </c>
    </row>
    <row r="51" spans="1:4" outlineLevel="2" x14ac:dyDescent="0.35">
      <c r="A51" s="113" t="s">
        <v>16</v>
      </c>
      <c r="B51" s="114" t="s">
        <v>113</v>
      </c>
      <c r="C51" s="29">
        <f>IF(C12&gt;60,(1/C12/3)*5,IF(C12&gt;48,(1/C12/3)*4,IF(C12&gt;36,(1/C12/3)*3,IF(C12&gt;24,(1/C12/3)*2,IF(C12&gt;12,(1/C12/3)*1,0)))))</f>
        <v>1.67E-2</v>
      </c>
      <c r="D51" s="104">
        <f>C51*D39</f>
        <v>24.34</v>
      </c>
    </row>
    <row r="52" spans="1:4" outlineLevel="1" x14ac:dyDescent="0.35">
      <c r="A52" s="644" t="s">
        <v>11</v>
      </c>
      <c r="B52" s="645"/>
      <c r="C52" s="30">
        <f>SUM(C50:C51)</f>
        <v>0.1</v>
      </c>
      <c r="D52" s="116">
        <f>SUM(D50:D51)</f>
        <v>145.75</v>
      </c>
    </row>
    <row r="53" spans="1:4" outlineLevel="1" x14ac:dyDescent="0.35">
      <c r="A53" s="646"/>
      <c r="B53" s="647"/>
      <c r="C53" s="647"/>
      <c r="D53" s="648"/>
    </row>
    <row r="54" spans="1:4" outlineLevel="1" x14ac:dyDescent="0.35">
      <c r="A54" s="110" t="s">
        <v>46</v>
      </c>
      <c r="B54" s="117" t="s">
        <v>47</v>
      </c>
      <c r="C54" s="110" t="s">
        <v>44</v>
      </c>
      <c r="D54" s="118" t="s">
        <v>35</v>
      </c>
    </row>
    <row r="55" spans="1:4" outlineLevel="2" x14ac:dyDescent="0.35">
      <c r="A55" s="111" t="s">
        <v>36</v>
      </c>
      <c r="B55" s="31" t="s">
        <v>48</v>
      </c>
      <c r="C55" s="32">
        <v>0.2</v>
      </c>
      <c r="D55" s="104">
        <f t="shared" ref="D55:D62" si="0">C55*($D$39+$D$52)</f>
        <v>320.64999999999998</v>
      </c>
    </row>
    <row r="56" spans="1:4" outlineLevel="2" x14ac:dyDescent="0.35">
      <c r="A56" s="111" t="s">
        <v>16</v>
      </c>
      <c r="B56" s="31" t="s">
        <v>49</v>
      </c>
      <c r="C56" s="32">
        <v>2.5000000000000001E-2</v>
      </c>
      <c r="D56" s="104">
        <f t="shared" si="0"/>
        <v>40.08</v>
      </c>
    </row>
    <row r="57" spans="1:4" outlineLevel="2" x14ac:dyDescent="0.35">
      <c r="A57" s="111" t="s">
        <v>17</v>
      </c>
      <c r="B57" s="31" t="s">
        <v>167</v>
      </c>
      <c r="C57" s="66">
        <v>0.03</v>
      </c>
      <c r="D57" s="104">
        <f t="shared" si="0"/>
        <v>48.1</v>
      </c>
    </row>
    <row r="58" spans="1:4" outlineLevel="2" x14ac:dyDescent="0.35">
      <c r="A58" s="111" t="s">
        <v>19</v>
      </c>
      <c r="B58" s="31" t="s">
        <v>168</v>
      </c>
      <c r="C58" s="32">
        <v>1.4999999999999999E-2</v>
      </c>
      <c r="D58" s="104">
        <f t="shared" si="0"/>
        <v>24.05</v>
      </c>
    </row>
    <row r="59" spans="1:4" outlineLevel="2" x14ac:dyDescent="0.35">
      <c r="A59" s="111" t="s">
        <v>22</v>
      </c>
      <c r="B59" s="31" t="s">
        <v>169</v>
      </c>
      <c r="C59" s="32">
        <v>0.01</v>
      </c>
      <c r="D59" s="104">
        <f t="shared" si="0"/>
        <v>16.03</v>
      </c>
    </row>
    <row r="60" spans="1:4" outlineLevel="2" x14ac:dyDescent="0.35">
      <c r="A60" s="111" t="s">
        <v>24</v>
      </c>
      <c r="B60" s="31" t="s">
        <v>50</v>
      </c>
      <c r="C60" s="32">
        <v>6.0000000000000001E-3</v>
      </c>
      <c r="D60" s="104">
        <f t="shared" si="0"/>
        <v>9.6199999999999992</v>
      </c>
    </row>
    <row r="61" spans="1:4" outlineLevel="2" x14ac:dyDescent="0.35">
      <c r="A61" s="111" t="s">
        <v>25</v>
      </c>
      <c r="B61" s="31" t="s">
        <v>51</v>
      </c>
      <c r="C61" s="32">
        <v>2E-3</v>
      </c>
      <c r="D61" s="104">
        <f t="shared" si="0"/>
        <v>3.21</v>
      </c>
    </row>
    <row r="62" spans="1:4" outlineLevel="2" x14ac:dyDescent="0.35">
      <c r="A62" s="111" t="s">
        <v>52</v>
      </c>
      <c r="B62" s="31" t="s">
        <v>53</v>
      </c>
      <c r="C62" s="32">
        <v>0.08</v>
      </c>
      <c r="D62" s="104">
        <f t="shared" si="0"/>
        <v>128.26</v>
      </c>
    </row>
    <row r="63" spans="1:4" outlineLevel="1" x14ac:dyDescent="0.35">
      <c r="A63" s="644" t="s">
        <v>11</v>
      </c>
      <c r="B63" s="645"/>
      <c r="C63" s="33">
        <f>SUM(C55:C62)</f>
        <v>0.36799999999999999</v>
      </c>
      <c r="D63" s="119">
        <f>SUM(D55:D62)</f>
        <v>590</v>
      </c>
    </row>
    <row r="64" spans="1:4" outlineLevel="1" x14ac:dyDescent="0.35">
      <c r="A64" s="646"/>
      <c r="B64" s="647"/>
      <c r="C64" s="647"/>
      <c r="D64" s="648"/>
    </row>
    <row r="65" spans="1:4" outlineLevel="1" x14ac:dyDescent="0.35">
      <c r="A65" s="110" t="s">
        <v>54</v>
      </c>
      <c r="B65" s="117" t="s">
        <v>55</v>
      </c>
      <c r="C65" s="110" t="s">
        <v>56</v>
      </c>
      <c r="D65" s="110" t="s">
        <v>35</v>
      </c>
    </row>
    <row r="66" spans="1:4" outlineLevel="2" x14ac:dyDescent="0.35">
      <c r="A66" s="111" t="s">
        <v>36</v>
      </c>
      <c r="B66" s="31" t="s">
        <v>57</v>
      </c>
      <c r="C66" s="120">
        <v>3.75</v>
      </c>
      <c r="D66" s="121">
        <f>IF(D67+D68&gt;0,(D67+D68),0)</f>
        <v>85.5</v>
      </c>
    </row>
    <row r="67" spans="1:4" outlineLevel="3" x14ac:dyDescent="0.35">
      <c r="A67" s="122" t="s">
        <v>110</v>
      </c>
      <c r="B67" s="31" t="s">
        <v>170</v>
      </c>
      <c r="C67" s="123">
        <v>22</v>
      </c>
      <c r="D67" s="124">
        <f>C66*C67*2</f>
        <v>165</v>
      </c>
    </row>
    <row r="68" spans="1:4" outlineLevel="3" x14ac:dyDescent="0.35">
      <c r="A68" s="122" t="s">
        <v>114</v>
      </c>
      <c r="B68" s="31" t="s">
        <v>171</v>
      </c>
      <c r="C68" s="125">
        <v>0.06</v>
      </c>
      <c r="D68" s="124">
        <f>-D27*C68</f>
        <v>-79.5</v>
      </c>
    </row>
    <row r="69" spans="1:4" outlineLevel="2" x14ac:dyDescent="0.35">
      <c r="A69" s="111" t="s">
        <v>16</v>
      </c>
      <c r="B69" s="31" t="s">
        <v>58</v>
      </c>
      <c r="C69" s="382">
        <f>290/22</f>
        <v>13.182</v>
      </c>
      <c r="D69" s="121">
        <f>D70+D71</f>
        <v>290</v>
      </c>
    </row>
    <row r="70" spans="1:4" outlineLevel="3" x14ac:dyDescent="0.35">
      <c r="A70" s="122" t="s">
        <v>90</v>
      </c>
      <c r="B70" s="31" t="s">
        <v>172</v>
      </c>
      <c r="C70" s="123">
        <v>22</v>
      </c>
      <c r="D70" s="124">
        <f>C69*C70</f>
        <v>290</v>
      </c>
    </row>
    <row r="71" spans="1:4" outlineLevel="3" x14ac:dyDescent="0.35">
      <c r="A71" s="122" t="s">
        <v>115</v>
      </c>
      <c r="B71" s="31" t="s">
        <v>91</v>
      </c>
      <c r="C71" s="127">
        <f>'SR - ASG int'!C71</f>
        <v>0</v>
      </c>
      <c r="D71" s="124">
        <f>D70*C71</f>
        <v>0</v>
      </c>
    </row>
    <row r="72" spans="1:4" outlineLevel="2" x14ac:dyDescent="0.35">
      <c r="A72" s="111" t="s">
        <v>17</v>
      </c>
      <c r="B72" s="75" t="s">
        <v>291</v>
      </c>
      <c r="C72" s="126">
        <f>'SR - ASG int'!C72</f>
        <v>9.6999999999999993</v>
      </c>
      <c r="D72" s="129">
        <f>C72</f>
        <v>9.6999999999999993</v>
      </c>
    </row>
    <row r="73" spans="1:4" outlineLevel="2" x14ac:dyDescent="0.35">
      <c r="A73" s="111" t="s">
        <v>19</v>
      </c>
      <c r="B73" s="76" t="s">
        <v>293</v>
      </c>
      <c r="C73" s="126">
        <f>140*3</f>
        <v>420</v>
      </c>
      <c r="D73" s="129">
        <f>C73*C152</f>
        <v>0.84</v>
      </c>
    </row>
    <row r="74" spans="1:4" outlineLevel="2" x14ac:dyDescent="0.35">
      <c r="A74" s="111" t="s">
        <v>22</v>
      </c>
      <c r="B74" s="75" t="s">
        <v>292</v>
      </c>
      <c r="C74" s="126">
        <v>21</v>
      </c>
      <c r="D74" s="129">
        <f>C74</f>
        <v>21</v>
      </c>
    </row>
    <row r="75" spans="1:4" outlineLevel="2" x14ac:dyDescent="0.35">
      <c r="A75" s="111" t="s">
        <v>24</v>
      </c>
      <c r="B75" s="75" t="s">
        <v>554</v>
      </c>
      <c r="C75" s="128">
        <v>0</v>
      </c>
      <c r="D75" s="129">
        <v>97</v>
      </c>
    </row>
    <row r="76" spans="1:4" outlineLevel="2" x14ac:dyDescent="0.35">
      <c r="A76" s="111" t="s">
        <v>25</v>
      </c>
      <c r="B76" s="75" t="s">
        <v>39</v>
      </c>
      <c r="C76" s="126">
        <v>0</v>
      </c>
      <c r="D76" s="130">
        <f>C76</f>
        <v>0</v>
      </c>
    </row>
    <row r="77" spans="1:4" outlineLevel="1" x14ac:dyDescent="0.35">
      <c r="A77" s="644" t="s">
        <v>59</v>
      </c>
      <c r="B77" s="657"/>
      <c r="C77" s="645"/>
      <c r="D77" s="116">
        <f>SUM(D66,D69,D72:D76)</f>
        <v>504.04</v>
      </c>
    </row>
    <row r="78" spans="1:4" outlineLevel="1" x14ac:dyDescent="0.35">
      <c r="A78" s="646"/>
      <c r="B78" s="647"/>
      <c r="C78" s="647"/>
      <c r="D78" s="648"/>
    </row>
    <row r="79" spans="1:4" outlineLevel="1" x14ac:dyDescent="0.35">
      <c r="A79" s="661" t="s">
        <v>60</v>
      </c>
      <c r="B79" s="662"/>
      <c r="C79" s="110" t="s">
        <v>44</v>
      </c>
      <c r="D79" s="110" t="s">
        <v>35</v>
      </c>
    </row>
    <row r="80" spans="1:4" outlineLevel="1" x14ac:dyDescent="0.35">
      <c r="A80" s="111" t="s">
        <v>61</v>
      </c>
      <c r="B80" s="31" t="s">
        <v>43</v>
      </c>
      <c r="C80" s="34">
        <f>C52</f>
        <v>0.1</v>
      </c>
      <c r="D80" s="104">
        <f>D52</f>
        <v>145.75</v>
      </c>
    </row>
    <row r="81" spans="1:4" outlineLevel="1" x14ac:dyDescent="0.35">
      <c r="A81" s="111" t="s">
        <v>46</v>
      </c>
      <c r="B81" s="31" t="s">
        <v>47</v>
      </c>
      <c r="C81" s="34">
        <f>C63</f>
        <v>0.36799999999999999</v>
      </c>
      <c r="D81" s="104">
        <f>D63</f>
        <v>590</v>
      </c>
    </row>
    <row r="82" spans="1:4" outlineLevel="1" x14ac:dyDescent="0.35">
      <c r="A82" s="111" t="s">
        <v>62</v>
      </c>
      <c r="B82" s="31" t="s">
        <v>55</v>
      </c>
      <c r="C82" s="34">
        <f>D77/D39</f>
        <v>0.3458</v>
      </c>
      <c r="D82" s="104">
        <f>D77</f>
        <v>504.04</v>
      </c>
    </row>
    <row r="83" spans="1:4" x14ac:dyDescent="0.35">
      <c r="A83" s="644" t="s">
        <v>11</v>
      </c>
      <c r="B83" s="657"/>
      <c r="C83" s="645"/>
      <c r="D83" s="116">
        <f>SUM(D80:D82)</f>
        <v>1239.79</v>
      </c>
    </row>
    <row r="84" spans="1:4" x14ac:dyDescent="0.35">
      <c r="A84" s="646"/>
      <c r="B84" s="647"/>
      <c r="C84" s="647"/>
      <c r="D84" s="648"/>
    </row>
    <row r="85" spans="1:4" x14ac:dyDescent="0.35">
      <c r="A85" s="680" t="s">
        <v>173</v>
      </c>
      <c r="B85" s="681"/>
      <c r="C85" s="681"/>
      <c r="D85" s="682"/>
    </row>
    <row r="86" spans="1:4" outlineLevel="1" x14ac:dyDescent="0.35">
      <c r="A86" s="646"/>
      <c r="B86" s="647"/>
      <c r="C86" s="647"/>
      <c r="D86" s="648"/>
    </row>
    <row r="87" spans="1:4" outlineLevel="1" x14ac:dyDescent="0.35">
      <c r="A87" s="64" t="s">
        <v>174</v>
      </c>
      <c r="B87" s="109" t="s">
        <v>175</v>
      </c>
      <c r="C87" s="110" t="s">
        <v>44</v>
      </c>
      <c r="D87" s="110" t="s">
        <v>35</v>
      </c>
    </row>
    <row r="88" spans="1:4" outlineLevel="2" x14ac:dyDescent="0.35">
      <c r="A88" s="35" t="s">
        <v>36</v>
      </c>
      <c r="B88" s="36" t="s">
        <v>176</v>
      </c>
      <c r="C88" s="35" t="s">
        <v>152</v>
      </c>
      <c r="D88" s="131">
        <f>IF(C99&gt;1,SUM(D89:D92)*2,SUM(D89:D92))</f>
        <v>2053.86</v>
      </c>
    </row>
    <row r="89" spans="1:4" outlineLevel="3" x14ac:dyDescent="0.35">
      <c r="A89" s="37" t="s">
        <v>177</v>
      </c>
      <c r="B89" s="38" t="s">
        <v>178</v>
      </c>
      <c r="C89" s="35">
        <f>(IF(C12&gt;60,45,IF(C12&gt;48,42,IF(C12&gt;36,39,IF(C12&gt;24,36,IF(C12&gt;12,33,30)))))/30)</f>
        <v>1.1000000000000001</v>
      </c>
      <c r="D89" s="131">
        <f>D39*C89</f>
        <v>1603.25</v>
      </c>
    </row>
    <row r="90" spans="1:4" outlineLevel="3" x14ac:dyDescent="0.35">
      <c r="A90" s="37" t="s">
        <v>179</v>
      </c>
      <c r="B90" s="38" t="s">
        <v>180</v>
      </c>
      <c r="C90" s="29">
        <f>1/12</f>
        <v>8.3299999999999999E-2</v>
      </c>
      <c r="D90" s="131">
        <f>C90*D89</f>
        <v>133.55000000000001</v>
      </c>
    </row>
    <row r="91" spans="1:4" outlineLevel="3" x14ac:dyDescent="0.35">
      <c r="A91" s="37" t="s">
        <v>181</v>
      </c>
      <c r="B91" s="38" t="s">
        <v>182</v>
      </c>
      <c r="C91" s="29">
        <f>(1/12)+(1/12/3)</f>
        <v>0.1111</v>
      </c>
      <c r="D91" s="132">
        <f>C91*D89</f>
        <v>178.12</v>
      </c>
    </row>
    <row r="92" spans="1:4" outlineLevel="3" x14ac:dyDescent="0.35">
      <c r="A92" s="37" t="s">
        <v>183</v>
      </c>
      <c r="B92" s="38" t="s">
        <v>184</v>
      </c>
      <c r="C92" s="39">
        <v>0.08</v>
      </c>
      <c r="D92" s="131">
        <f>SUM(D89:D90)*C92</f>
        <v>138.94</v>
      </c>
    </row>
    <row r="93" spans="1:4" outlineLevel="2" x14ac:dyDescent="0.35">
      <c r="A93" s="35" t="s">
        <v>16</v>
      </c>
      <c r="B93" s="36" t="s">
        <v>185</v>
      </c>
      <c r="C93" s="40">
        <v>0.4</v>
      </c>
      <c r="D93" s="131">
        <f>C93*D94</f>
        <v>1027.6400000000001</v>
      </c>
    </row>
    <row r="94" spans="1:4" outlineLevel="3" x14ac:dyDescent="0.35">
      <c r="A94" s="35" t="s">
        <v>186</v>
      </c>
      <c r="B94" s="36" t="s">
        <v>187</v>
      </c>
      <c r="C94" s="40">
        <f>C62</f>
        <v>0.08</v>
      </c>
      <c r="D94" s="131">
        <f>C94*D95</f>
        <v>2569.09</v>
      </c>
    </row>
    <row r="95" spans="1:4" outlineLevel="3" x14ac:dyDescent="0.35">
      <c r="A95" s="35" t="s">
        <v>188</v>
      </c>
      <c r="B95" s="41" t="s">
        <v>116</v>
      </c>
      <c r="C95" s="42" t="s">
        <v>152</v>
      </c>
      <c r="D95" s="132">
        <f>SUM(D96:D98)</f>
        <v>32113.58</v>
      </c>
    </row>
    <row r="96" spans="1:4" outlineLevel="3" x14ac:dyDescent="0.35">
      <c r="A96" s="37" t="s">
        <v>189</v>
      </c>
      <c r="B96" s="38" t="s">
        <v>190</v>
      </c>
      <c r="C96" s="43">
        <f>C12-C98</f>
        <v>19</v>
      </c>
      <c r="D96" s="131">
        <f>D39*C96</f>
        <v>27692.5</v>
      </c>
    </row>
    <row r="97" spans="1:4" outlineLevel="3" x14ac:dyDescent="0.35">
      <c r="A97" s="37" t="s">
        <v>191</v>
      </c>
      <c r="B97" s="38" t="s">
        <v>192</v>
      </c>
      <c r="C97" s="44">
        <f>C12/12</f>
        <v>1.7</v>
      </c>
      <c r="D97" s="131">
        <f>D39*C97</f>
        <v>2477.75</v>
      </c>
    </row>
    <row r="98" spans="1:4" outlineLevel="3" x14ac:dyDescent="0.35">
      <c r="A98" s="37" t="s">
        <v>193</v>
      </c>
      <c r="B98" s="38" t="s">
        <v>194</v>
      </c>
      <c r="C98" s="42">
        <f>IF(C12&gt;60,5,IF(C12&gt;48,4,IF(C12&gt;36,3,IF(C12&gt;24,2,IF(C12&gt;12,1,0)))))</f>
        <v>1</v>
      </c>
      <c r="D98" s="132">
        <f>D39*C98*1.33333333333333</f>
        <v>1943.33</v>
      </c>
    </row>
    <row r="99" spans="1:4" outlineLevel="1" x14ac:dyDescent="0.35">
      <c r="A99" s="644" t="s">
        <v>11</v>
      </c>
      <c r="B99" s="645"/>
      <c r="C99" s="67">
        <f>'SR - ASG int'!C99</f>
        <v>5.5500000000000001E-2</v>
      </c>
      <c r="D99" s="116">
        <f>IF(C99&gt;1,D88+D93,(D88+D93)*C99)</f>
        <v>171.02</v>
      </c>
    </row>
    <row r="100" spans="1:4" outlineLevel="1" x14ac:dyDescent="0.35">
      <c r="A100" s="658"/>
      <c r="B100" s="659"/>
      <c r="C100" s="659"/>
      <c r="D100" s="660"/>
    </row>
    <row r="101" spans="1:4" outlineLevel="1" x14ac:dyDescent="0.35">
      <c r="A101" s="64" t="s">
        <v>195</v>
      </c>
      <c r="B101" s="109" t="s">
        <v>196</v>
      </c>
      <c r="C101" s="110" t="s">
        <v>44</v>
      </c>
      <c r="D101" s="110" t="s">
        <v>35</v>
      </c>
    </row>
    <row r="102" spans="1:4" outlineLevel="2" x14ac:dyDescent="0.35">
      <c r="A102" s="35" t="s">
        <v>36</v>
      </c>
      <c r="B102" s="41" t="s">
        <v>197</v>
      </c>
      <c r="C102" s="45">
        <f>IF(C111&gt;1,(1/30*7)*2,(1/30*7))</f>
        <v>0.23330000000000001</v>
      </c>
      <c r="D102" s="132">
        <f>C102*SUM(D103:D107)</f>
        <v>659.29</v>
      </c>
    </row>
    <row r="103" spans="1:4" outlineLevel="3" x14ac:dyDescent="0.35">
      <c r="A103" s="37" t="s">
        <v>177</v>
      </c>
      <c r="B103" s="38" t="s">
        <v>198</v>
      </c>
      <c r="C103" s="35">
        <v>1</v>
      </c>
      <c r="D103" s="131">
        <f>D39</f>
        <v>1457.5</v>
      </c>
    </row>
    <row r="104" spans="1:4" outlineLevel="3" x14ac:dyDescent="0.35">
      <c r="A104" s="37" t="s">
        <v>179</v>
      </c>
      <c r="B104" s="38" t="s">
        <v>199</v>
      </c>
      <c r="C104" s="29">
        <f>1/12</f>
        <v>8.3299999999999999E-2</v>
      </c>
      <c r="D104" s="131">
        <f>C104*D103</f>
        <v>121.41</v>
      </c>
    </row>
    <row r="105" spans="1:4" outlineLevel="3" x14ac:dyDescent="0.35">
      <c r="A105" s="37" t="s">
        <v>181</v>
      </c>
      <c r="B105" s="38" t="s">
        <v>200</v>
      </c>
      <c r="C105" s="29">
        <f>(1/12)+(1/12/3)</f>
        <v>0.1111</v>
      </c>
      <c r="D105" s="131">
        <f>C105*D103</f>
        <v>161.93</v>
      </c>
    </row>
    <row r="106" spans="1:4" outlineLevel="3" x14ac:dyDescent="0.35">
      <c r="A106" s="37" t="s">
        <v>183</v>
      </c>
      <c r="B106" s="46" t="s">
        <v>63</v>
      </c>
      <c r="C106" s="47">
        <f>C63</f>
        <v>0.36799999999999999</v>
      </c>
      <c r="D106" s="132">
        <f>C106*(D103+D104)</f>
        <v>581.04</v>
      </c>
    </row>
    <row r="107" spans="1:4" outlineLevel="3" x14ac:dyDescent="0.35">
      <c r="A107" s="37" t="s">
        <v>201</v>
      </c>
      <c r="B107" s="46" t="s">
        <v>202</v>
      </c>
      <c r="C107" s="42">
        <v>1</v>
      </c>
      <c r="D107" s="132">
        <f>D77</f>
        <v>504.04</v>
      </c>
    </row>
    <row r="108" spans="1:4" outlineLevel="2" x14ac:dyDescent="0.35">
      <c r="A108" s="35" t="s">
        <v>16</v>
      </c>
      <c r="B108" s="36" t="s">
        <v>203</v>
      </c>
      <c r="C108" s="40">
        <v>0.4</v>
      </c>
      <c r="D108" s="131">
        <f>C108*D109</f>
        <v>1027.6400000000001</v>
      </c>
    </row>
    <row r="109" spans="1:4" outlineLevel="2" x14ac:dyDescent="0.35">
      <c r="A109" s="35" t="s">
        <v>186</v>
      </c>
      <c r="B109" s="36" t="s">
        <v>187</v>
      </c>
      <c r="C109" s="40">
        <f>C62</f>
        <v>0.08</v>
      </c>
      <c r="D109" s="131">
        <f>C109*D110</f>
        <v>2569.09</v>
      </c>
    </row>
    <row r="110" spans="1:4" outlineLevel="2" x14ac:dyDescent="0.35">
      <c r="A110" s="35" t="s">
        <v>188</v>
      </c>
      <c r="B110" s="41" t="s">
        <v>116</v>
      </c>
      <c r="C110" s="42" t="s">
        <v>152</v>
      </c>
      <c r="D110" s="132">
        <f>D95</f>
        <v>32113.58</v>
      </c>
    </row>
    <row r="111" spans="1:4" outlineLevel="1" x14ac:dyDescent="0.35">
      <c r="A111" s="644" t="s">
        <v>11</v>
      </c>
      <c r="B111" s="645"/>
      <c r="C111" s="67">
        <f>'SR - ASG int'!C111</f>
        <v>0.94450000000000001</v>
      </c>
      <c r="D111" s="116">
        <f>IF(C111&gt;1,D102+D108,(D102+D108)*C111)</f>
        <v>1593.31</v>
      </c>
    </row>
    <row r="112" spans="1:4" outlineLevel="1" x14ac:dyDescent="0.35">
      <c r="A112" s="658"/>
      <c r="B112" s="659"/>
      <c r="C112" s="659"/>
      <c r="D112" s="660"/>
    </row>
    <row r="113" spans="1:4" outlineLevel="1" x14ac:dyDescent="0.35">
      <c r="A113" s="64" t="s">
        <v>204</v>
      </c>
      <c r="B113" s="109" t="s">
        <v>205</v>
      </c>
      <c r="C113" s="110" t="s">
        <v>44</v>
      </c>
      <c r="D113" s="110" t="s">
        <v>35</v>
      </c>
    </row>
    <row r="114" spans="1:4" outlineLevel="2" x14ac:dyDescent="0.35">
      <c r="A114" s="111" t="s">
        <v>36</v>
      </c>
      <c r="B114" s="31" t="s">
        <v>206</v>
      </c>
      <c r="C114" s="34">
        <f>IF(C12&gt;60,(D39/12*(C12-60))/C12/D39,IF(C12&gt;48,(D39/12*(C12-48))/C12/D39,IF(C12&gt;36,(D39/12*(C12-36))/C12/D39,IF(C12&gt;24,(D39/12*(C12-24))/C12/D39,IF(C12&gt;12,((D39/12*(C12-12))/C12/D39),1/12)))))</f>
        <v>3.3300000000000003E-2</v>
      </c>
      <c r="D114" s="133">
        <f>C114*D39</f>
        <v>48.53</v>
      </c>
    </row>
    <row r="115" spans="1:4" outlineLevel="2" x14ac:dyDescent="0.35">
      <c r="A115" s="111" t="s">
        <v>16</v>
      </c>
      <c r="B115" s="48" t="s">
        <v>207</v>
      </c>
      <c r="C115" s="34">
        <f>C114/3</f>
        <v>1.11E-2</v>
      </c>
      <c r="D115" s="134">
        <f>C115*D39</f>
        <v>16.18</v>
      </c>
    </row>
    <row r="116" spans="1:4" outlineLevel="1" x14ac:dyDescent="0.35">
      <c r="A116" s="644" t="s">
        <v>11</v>
      </c>
      <c r="B116" s="645"/>
      <c r="C116" s="30">
        <f>C114+C115</f>
        <v>4.4400000000000002E-2</v>
      </c>
      <c r="D116" s="116">
        <f>SUM(D114:D115)</f>
        <v>64.709999999999994</v>
      </c>
    </row>
    <row r="117" spans="1:4" outlineLevel="1" x14ac:dyDescent="0.35">
      <c r="A117" s="658"/>
      <c r="B117" s="659"/>
      <c r="C117" s="659"/>
      <c r="D117" s="660"/>
    </row>
    <row r="118" spans="1:4" outlineLevel="1" x14ac:dyDescent="0.35">
      <c r="A118" s="661" t="s">
        <v>208</v>
      </c>
      <c r="B118" s="662"/>
      <c r="C118" s="110" t="s">
        <v>44</v>
      </c>
      <c r="D118" s="110" t="s">
        <v>35</v>
      </c>
    </row>
    <row r="119" spans="1:4" outlineLevel="1" x14ac:dyDescent="0.35">
      <c r="A119" s="111" t="s">
        <v>174</v>
      </c>
      <c r="B119" s="31" t="s">
        <v>175</v>
      </c>
      <c r="C119" s="34">
        <f>C99</f>
        <v>5.5500000000000001E-2</v>
      </c>
      <c r="D119" s="104">
        <f>D99</f>
        <v>171.02</v>
      </c>
    </row>
    <row r="120" spans="1:4" outlineLevel="1" x14ac:dyDescent="0.35">
      <c r="A120" s="113" t="s">
        <v>195</v>
      </c>
      <c r="B120" s="31" t="s">
        <v>196</v>
      </c>
      <c r="C120" s="49">
        <f>C111</f>
        <v>0.94450000000000001</v>
      </c>
      <c r="D120" s="104">
        <f>D111</f>
        <v>1593.31</v>
      </c>
    </row>
    <row r="121" spans="1:4" outlineLevel="1" x14ac:dyDescent="0.35">
      <c r="A121" s="679" t="s">
        <v>209</v>
      </c>
      <c r="B121" s="679"/>
      <c r="C121" s="679"/>
      <c r="D121" s="135">
        <f>D119+D120</f>
        <v>1764.33</v>
      </c>
    </row>
    <row r="122" spans="1:4" outlineLevel="1" x14ac:dyDescent="0.35">
      <c r="A122" s="675" t="s">
        <v>210</v>
      </c>
      <c r="B122" s="676"/>
      <c r="C122" s="68">
        <f>'SR - ASG int'!C122</f>
        <v>0.63570000000000004</v>
      </c>
      <c r="D122" s="58">
        <f>C122*D121</f>
        <v>1121.58</v>
      </c>
    </row>
    <row r="123" spans="1:4" outlineLevel="1" x14ac:dyDescent="0.35">
      <c r="A123" s="675" t="s">
        <v>211</v>
      </c>
      <c r="B123" s="676"/>
      <c r="C123" s="68">
        <f>'SR - ASG int'!C123</f>
        <v>1.0999999999999999E-2</v>
      </c>
      <c r="D123" s="58">
        <f>(D50+(D116/2))*-C123</f>
        <v>-1.69</v>
      </c>
    </row>
    <row r="124" spans="1:4" outlineLevel="1" x14ac:dyDescent="0.35">
      <c r="A124" s="677" t="s">
        <v>212</v>
      </c>
      <c r="B124" s="678"/>
      <c r="C124" s="72">
        <f>1/C12</f>
        <v>0.05</v>
      </c>
      <c r="D124" s="59">
        <f>(D122+D123)*C124</f>
        <v>55.99</v>
      </c>
    </row>
    <row r="125" spans="1:4" outlineLevel="1" x14ac:dyDescent="0.35">
      <c r="A125" s="113" t="s">
        <v>204</v>
      </c>
      <c r="B125" s="31" t="s">
        <v>213</v>
      </c>
      <c r="C125" s="49"/>
      <c r="D125" s="124">
        <f>D116</f>
        <v>64.709999999999994</v>
      </c>
    </row>
    <row r="126" spans="1:4" x14ac:dyDescent="0.35">
      <c r="A126" s="644" t="s">
        <v>11</v>
      </c>
      <c r="B126" s="645"/>
      <c r="C126" s="30"/>
      <c r="D126" s="136">
        <f>D124+D125</f>
        <v>120.7</v>
      </c>
    </row>
    <row r="127" spans="1:4" x14ac:dyDescent="0.35">
      <c r="A127" s="646"/>
      <c r="B127" s="647"/>
      <c r="C127" s="647"/>
      <c r="D127" s="648"/>
    </row>
    <row r="128" spans="1:4" x14ac:dyDescent="0.35">
      <c r="A128" s="663" t="s">
        <v>64</v>
      </c>
      <c r="B128" s="664"/>
      <c r="C128" s="664"/>
      <c r="D128" s="665"/>
    </row>
    <row r="129" spans="1:4" outlineLevel="1" x14ac:dyDescent="0.35">
      <c r="A129" s="658"/>
      <c r="B129" s="659"/>
      <c r="C129" s="659"/>
      <c r="D129" s="660"/>
    </row>
    <row r="130" spans="1:4" outlineLevel="1" x14ac:dyDescent="0.35">
      <c r="A130" s="110" t="s">
        <v>65</v>
      </c>
      <c r="B130" s="117" t="s">
        <v>214</v>
      </c>
      <c r="C130" s="30" t="s">
        <v>44</v>
      </c>
      <c r="D130" s="110" t="s">
        <v>35</v>
      </c>
    </row>
    <row r="131" spans="1:4" outlineLevel="2" x14ac:dyDescent="0.35">
      <c r="A131" s="137" t="s">
        <v>36</v>
      </c>
      <c r="B131" s="89" t="s">
        <v>66</v>
      </c>
      <c r="C131" s="50">
        <f>IF(C12&gt;60,5/C12,IF(C12&gt;48,4/C12,IF(C12&gt;36,3/C12,IF(C12&gt;24,2/C12,IF(C12&gt;12,1/C12,0)))))</f>
        <v>0.05</v>
      </c>
      <c r="D131" s="133">
        <f>SUM(D132:D136)</f>
        <v>94.2</v>
      </c>
    </row>
    <row r="132" spans="1:4" outlineLevel="3" x14ac:dyDescent="0.35">
      <c r="A132" s="138" t="s">
        <v>215</v>
      </c>
      <c r="B132" s="90" t="s">
        <v>216</v>
      </c>
      <c r="C132" s="139">
        <f>D39</f>
        <v>1457.5</v>
      </c>
      <c r="D132" s="140">
        <f>$C$131*(D39)-($C$131*(D39)*C137/3)</f>
        <v>72.88</v>
      </c>
    </row>
    <row r="133" spans="1:4" outlineLevel="3" x14ac:dyDescent="0.35">
      <c r="A133" s="138" t="s">
        <v>217</v>
      </c>
      <c r="B133" s="90" t="s">
        <v>218</v>
      </c>
      <c r="C133" s="139">
        <f>(D50)</f>
        <v>121.41</v>
      </c>
      <c r="D133" s="140">
        <f>$C$131*C133-($C$131*C133*C137/3)</f>
        <v>6.07</v>
      </c>
    </row>
    <row r="134" spans="1:4" outlineLevel="3" x14ac:dyDescent="0.35">
      <c r="A134" s="138" t="s">
        <v>219</v>
      </c>
      <c r="B134" s="90" t="s">
        <v>220</v>
      </c>
      <c r="C134" s="141">
        <f>(D39/12)+(D51*IF(C12&gt;60,((C12-60)*(1/60))+1,IF(C12&gt;48,((C12-48)*(1/48))+1,IF(C12&gt;36,((C12-36)*(1/36))+1,IF(C12&gt;24,((C12-24)*(1/24))+1,IF(C12&gt;12,((C12-12)*(1/12))+1,1))))))</f>
        <v>162.03</v>
      </c>
      <c r="D134" s="140">
        <f>$C$131*C134-($C$131*C134*C137/3)</f>
        <v>8.1</v>
      </c>
    </row>
    <row r="135" spans="1:4" outlineLevel="3" x14ac:dyDescent="0.35">
      <c r="A135" s="138" t="s">
        <v>221</v>
      </c>
      <c r="B135" s="90" t="s">
        <v>222</v>
      </c>
      <c r="C135" s="91">
        <f>C63</f>
        <v>0.36799999999999999</v>
      </c>
      <c r="D135" s="140">
        <f>SUM(D132:D134)*C131</f>
        <v>4.3499999999999996</v>
      </c>
    </row>
    <row r="136" spans="1:4" outlineLevel="3" x14ac:dyDescent="0.35">
      <c r="A136" s="138" t="s">
        <v>223</v>
      </c>
      <c r="B136" s="90" t="s">
        <v>224</v>
      </c>
      <c r="C136" s="141">
        <f>D124</f>
        <v>55.99</v>
      </c>
      <c r="D136" s="140">
        <f>C136*C131</f>
        <v>2.8</v>
      </c>
    </row>
    <row r="137" spans="1:4" outlineLevel="2" x14ac:dyDescent="0.35">
      <c r="A137" s="111" t="s">
        <v>16</v>
      </c>
      <c r="B137" s="31" t="s">
        <v>225</v>
      </c>
      <c r="C137" s="92">
        <v>0</v>
      </c>
      <c r="D137" s="124">
        <f>$C$131*(D39)*(C137/3)</f>
        <v>0</v>
      </c>
    </row>
    <row r="138" spans="1:4" outlineLevel="1" x14ac:dyDescent="0.35">
      <c r="A138" s="644" t="s">
        <v>226</v>
      </c>
      <c r="B138" s="645"/>
      <c r="C138" s="30">
        <f>C131+(D137/D39)</f>
        <v>0.05</v>
      </c>
      <c r="D138" s="116">
        <f>SUM(D131:D137)</f>
        <v>188.4</v>
      </c>
    </row>
    <row r="139" spans="1:4" outlineLevel="1" x14ac:dyDescent="0.35">
      <c r="A139" s="658"/>
      <c r="B139" s="659"/>
      <c r="C139" s="659"/>
      <c r="D139" s="660"/>
    </row>
    <row r="140" spans="1:4" outlineLevel="2" x14ac:dyDescent="0.35">
      <c r="A140" s="668" t="s">
        <v>227</v>
      </c>
      <c r="B140" s="142" t="s">
        <v>190</v>
      </c>
      <c r="C140" s="93">
        <v>220</v>
      </c>
      <c r="D140" s="143">
        <f>D39</f>
        <v>1457.5</v>
      </c>
    </row>
    <row r="141" spans="1:4" outlineLevel="2" x14ac:dyDescent="0.35">
      <c r="A141" s="669"/>
      <c r="B141" s="142" t="s">
        <v>228</v>
      </c>
      <c r="C141" s="50">
        <f>(1+(1/3)+1)/12</f>
        <v>0.19439999999999999</v>
      </c>
      <c r="D141" s="144">
        <f>D140*C141</f>
        <v>283.33999999999997</v>
      </c>
    </row>
    <row r="142" spans="1:4" outlineLevel="2" x14ac:dyDescent="0.35">
      <c r="A142" s="669"/>
      <c r="B142" s="142" t="s">
        <v>229</v>
      </c>
      <c r="C142" s="50">
        <f>C63</f>
        <v>0.36799999999999999</v>
      </c>
      <c r="D142" s="144">
        <f>(D140+D141)*C142</f>
        <v>640.63</v>
      </c>
    </row>
    <row r="143" spans="1:4" outlineLevel="2" x14ac:dyDescent="0.35">
      <c r="A143" s="669"/>
      <c r="B143" s="142" t="s">
        <v>230</v>
      </c>
      <c r="C143" s="50">
        <f>D143/D140</f>
        <v>0.3458</v>
      </c>
      <c r="D143" s="144">
        <f>D77</f>
        <v>504.04</v>
      </c>
    </row>
    <row r="144" spans="1:4" outlineLevel="2" x14ac:dyDescent="0.35">
      <c r="A144" s="670"/>
      <c r="B144" s="145" t="s">
        <v>231</v>
      </c>
      <c r="C144" s="50">
        <f>D144/D140</f>
        <v>3.8399999999999997E-2</v>
      </c>
      <c r="D144" s="144">
        <f>D124</f>
        <v>55.99</v>
      </c>
    </row>
    <row r="145" spans="1:4" outlineLevel="2" x14ac:dyDescent="0.35">
      <c r="A145" s="671" t="s">
        <v>232</v>
      </c>
      <c r="B145" s="672"/>
      <c r="C145" s="94">
        <f>D145/D140</f>
        <v>2.0182000000000002</v>
      </c>
      <c r="D145" s="146">
        <f>SUM(D140:D144)</f>
        <v>2941.5</v>
      </c>
    </row>
    <row r="146" spans="1:4" outlineLevel="2" x14ac:dyDescent="0.35">
      <c r="A146" s="673"/>
      <c r="B146" s="673"/>
      <c r="C146" s="673"/>
      <c r="D146" s="674"/>
    </row>
    <row r="147" spans="1:4" outlineLevel="1" x14ac:dyDescent="0.35">
      <c r="A147" s="110" t="s">
        <v>233</v>
      </c>
      <c r="B147" s="117" t="s">
        <v>234</v>
      </c>
      <c r="C147" s="30" t="s">
        <v>44</v>
      </c>
      <c r="D147" s="110" t="s">
        <v>35</v>
      </c>
    </row>
    <row r="148" spans="1:4" outlineLevel="2" x14ac:dyDescent="0.35">
      <c r="A148" s="111" t="s">
        <v>16</v>
      </c>
      <c r="B148" s="31" t="s">
        <v>118</v>
      </c>
      <c r="C148" s="77">
        <f>5/252</f>
        <v>1.9800000000000002E-2</v>
      </c>
      <c r="D148" s="133">
        <f>C148*$D$145</f>
        <v>58.24</v>
      </c>
    </row>
    <row r="149" spans="1:4" outlineLevel="2" x14ac:dyDescent="0.35">
      <c r="A149" s="111" t="s">
        <v>17</v>
      </c>
      <c r="B149" s="31" t="s">
        <v>119</v>
      </c>
      <c r="C149" s="77">
        <f>1.383/252</f>
        <v>5.4999999999999997E-3</v>
      </c>
      <c r="D149" s="133">
        <f>C149*$D$145</f>
        <v>16.18</v>
      </c>
    </row>
    <row r="150" spans="1:4" outlineLevel="2" x14ac:dyDescent="0.35">
      <c r="A150" s="111" t="s">
        <v>19</v>
      </c>
      <c r="B150" s="31" t="s">
        <v>117</v>
      </c>
      <c r="C150" s="77">
        <f>1.3892/252</f>
        <v>5.4999999999999997E-3</v>
      </c>
      <c r="D150" s="133">
        <f t="shared" ref="D150:D153" si="1">C150*$D$145</f>
        <v>16.18</v>
      </c>
    </row>
    <row r="151" spans="1:4" outlineLevel="2" x14ac:dyDescent="0.35">
      <c r="A151" s="111" t="s">
        <v>22</v>
      </c>
      <c r="B151" s="31" t="s">
        <v>67</v>
      </c>
      <c r="C151" s="77">
        <f>0.65/252</f>
        <v>2.5999999999999999E-3</v>
      </c>
      <c r="D151" s="133">
        <f t="shared" si="1"/>
        <v>7.65</v>
      </c>
    </row>
    <row r="152" spans="1:4" outlineLevel="2" x14ac:dyDescent="0.35">
      <c r="A152" s="111" t="s">
        <v>24</v>
      </c>
      <c r="B152" s="31" t="s">
        <v>68</v>
      </c>
      <c r="C152" s="77">
        <f>0.5052/252</f>
        <v>2E-3</v>
      </c>
      <c r="D152" s="133">
        <f t="shared" si="1"/>
        <v>5.88</v>
      </c>
    </row>
    <row r="153" spans="1:4" outlineLevel="2" x14ac:dyDescent="0.35">
      <c r="A153" s="111" t="s">
        <v>36</v>
      </c>
      <c r="B153" s="61" t="s">
        <v>235</v>
      </c>
      <c r="C153" s="69">
        <f>0.2/252</f>
        <v>8.0000000000000004E-4</v>
      </c>
      <c r="D153" s="133">
        <f t="shared" si="1"/>
        <v>2.35</v>
      </c>
    </row>
    <row r="154" spans="1:4" outlineLevel="1" x14ac:dyDescent="0.35">
      <c r="A154" s="644" t="s">
        <v>226</v>
      </c>
      <c r="B154" s="645"/>
      <c r="C154" s="30">
        <f>SUM(C148:C153)</f>
        <v>3.6200000000000003E-2</v>
      </c>
      <c r="D154" s="116">
        <f>SUM(D148:D153)</f>
        <v>106.48</v>
      </c>
    </row>
    <row r="155" spans="1:4" outlineLevel="1" x14ac:dyDescent="0.35">
      <c r="A155" s="658"/>
      <c r="B155" s="659"/>
      <c r="C155" s="659"/>
      <c r="D155" s="660"/>
    </row>
    <row r="156" spans="1:4" outlineLevel="1" x14ac:dyDescent="0.35">
      <c r="A156" s="661" t="s">
        <v>236</v>
      </c>
      <c r="B156" s="666"/>
      <c r="C156" s="30" t="s">
        <v>237</v>
      </c>
      <c r="D156" s="110" t="s">
        <v>35</v>
      </c>
    </row>
    <row r="157" spans="1:4" outlineLevel="2" x14ac:dyDescent="0.4">
      <c r="A157" s="667" t="s">
        <v>238</v>
      </c>
      <c r="B157" s="142" t="s">
        <v>239</v>
      </c>
      <c r="C157" s="95">
        <f>C153</f>
        <v>8.0000000000000004E-4</v>
      </c>
      <c r="D157" s="147">
        <f>C157*-D140</f>
        <v>-1.17</v>
      </c>
    </row>
    <row r="158" spans="1:4" outlineLevel="2" x14ac:dyDescent="0.4">
      <c r="A158" s="667"/>
      <c r="B158" s="148" t="s">
        <v>240</v>
      </c>
      <c r="C158" s="96">
        <v>0</v>
      </c>
      <c r="D158" s="149">
        <f>C158*-(D140/220/24*5)</f>
        <v>0</v>
      </c>
    </row>
    <row r="159" spans="1:4" outlineLevel="2" x14ac:dyDescent="0.4">
      <c r="A159" s="667"/>
      <c r="B159" s="148" t="s">
        <v>241</v>
      </c>
      <c r="C159" s="96">
        <v>0</v>
      </c>
      <c r="D159" s="149">
        <f>C159*-D141</f>
        <v>0</v>
      </c>
    </row>
    <row r="160" spans="1:4" outlineLevel="2" x14ac:dyDescent="0.4">
      <c r="A160" s="667"/>
      <c r="B160" s="142" t="s">
        <v>242</v>
      </c>
      <c r="C160" s="95">
        <f>C154</f>
        <v>3.6200000000000003E-2</v>
      </c>
      <c r="D160" s="147">
        <f>C160*-D66</f>
        <v>-3.1</v>
      </c>
    </row>
    <row r="161" spans="1:4" outlineLevel="2" x14ac:dyDescent="0.4">
      <c r="A161" s="667"/>
      <c r="B161" s="142" t="s">
        <v>243</v>
      </c>
      <c r="C161" s="95">
        <f>C154</f>
        <v>3.6200000000000003E-2</v>
      </c>
      <c r="D161" s="147">
        <f>C161*-D69</f>
        <v>-10.5</v>
      </c>
    </row>
    <row r="162" spans="1:4" outlineLevel="2" x14ac:dyDescent="0.4">
      <c r="A162" s="667"/>
      <c r="B162" s="145" t="s">
        <v>244</v>
      </c>
      <c r="C162" s="95">
        <f>C153</f>
        <v>8.0000000000000004E-4</v>
      </c>
      <c r="D162" s="147">
        <f>C162*-D74</f>
        <v>-0.02</v>
      </c>
    </row>
    <row r="163" spans="1:4" outlineLevel="2" x14ac:dyDescent="0.35">
      <c r="A163" s="667"/>
      <c r="B163" s="145" t="s">
        <v>245</v>
      </c>
      <c r="C163" s="97">
        <f>C152</f>
        <v>2E-3</v>
      </c>
      <c r="D163" s="133">
        <f>C163*-SUM(D55:D61)</f>
        <v>-0.92</v>
      </c>
    </row>
    <row r="164" spans="1:4" outlineLevel="2" x14ac:dyDescent="0.4">
      <c r="A164" s="667"/>
      <c r="B164" s="142" t="s">
        <v>246</v>
      </c>
      <c r="C164" s="95">
        <f>C153</f>
        <v>8.0000000000000004E-4</v>
      </c>
      <c r="D164" s="147">
        <f>C164*-D142</f>
        <v>-0.51</v>
      </c>
    </row>
    <row r="165" spans="1:4" outlineLevel="1" x14ac:dyDescent="0.35">
      <c r="A165" s="644" t="s">
        <v>247</v>
      </c>
      <c r="B165" s="645"/>
      <c r="C165" s="30">
        <f>D165/D140</f>
        <v>-1.11E-2</v>
      </c>
      <c r="D165" s="116">
        <f>SUM(D157:D164)</f>
        <v>-16.22</v>
      </c>
    </row>
    <row r="166" spans="1:4" outlineLevel="1" x14ac:dyDescent="0.35">
      <c r="A166" s="658"/>
      <c r="B166" s="659"/>
      <c r="C166" s="659"/>
      <c r="D166" s="660"/>
    </row>
    <row r="167" spans="1:4" outlineLevel="1" x14ac:dyDescent="0.35">
      <c r="A167" s="644" t="s">
        <v>248</v>
      </c>
      <c r="B167" s="645"/>
      <c r="C167" s="30">
        <f>D167/D140</f>
        <v>6.1899999999999997E-2</v>
      </c>
      <c r="D167" s="116">
        <f>D154+D165</f>
        <v>90.26</v>
      </c>
    </row>
    <row r="168" spans="1:4" outlineLevel="1" x14ac:dyDescent="0.35">
      <c r="A168" s="658"/>
      <c r="B168" s="659"/>
      <c r="C168" s="659"/>
      <c r="D168" s="660"/>
    </row>
    <row r="169" spans="1:4" outlineLevel="1" x14ac:dyDescent="0.35">
      <c r="A169" s="661" t="s">
        <v>249</v>
      </c>
      <c r="B169" s="662"/>
      <c r="C169" s="110" t="s">
        <v>44</v>
      </c>
      <c r="D169" s="110" t="s">
        <v>35</v>
      </c>
    </row>
    <row r="170" spans="1:4" outlineLevel="1" x14ac:dyDescent="0.35">
      <c r="A170" s="111" t="s">
        <v>65</v>
      </c>
      <c r="B170" s="31" t="s">
        <v>214</v>
      </c>
      <c r="C170" s="34"/>
      <c r="D170" s="150">
        <f>D138</f>
        <v>188.4</v>
      </c>
    </row>
    <row r="171" spans="1:4" outlineLevel="1" x14ac:dyDescent="0.35">
      <c r="A171" s="111" t="s">
        <v>233</v>
      </c>
      <c r="B171" s="31" t="s">
        <v>234</v>
      </c>
      <c r="C171" s="34"/>
      <c r="D171" s="150">
        <f>D167</f>
        <v>90.26</v>
      </c>
    </row>
    <row r="172" spans="1:4" x14ac:dyDescent="0.35">
      <c r="A172" s="644" t="s">
        <v>11</v>
      </c>
      <c r="B172" s="657"/>
      <c r="C172" s="645"/>
      <c r="D172" s="119">
        <f>SUM(D170:D171)</f>
        <v>278.66000000000003</v>
      </c>
    </row>
    <row r="173" spans="1:4" x14ac:dyDescent="0.35">
      <c r="A173" s="658"/>
      <c r="B173" s="659"/>
      <c r="C173" s="659"/>
      <c r="D173" s="660"/>
    </row>
    <row r="174" spans="1:4" x14ac:dyDescent="0.35">
      <c r="A174" s="663" t="s">
        <v>69</v>
      </c>
      <c r="B174" s="664"/>
      <c r="C174" s="664"/>
      <c r="D174" s="665"/>
    </row>
    <row r="175" spans="1:4" outlineLevel="1" x14ac:dyDescent="0.35">
      <c r="A175" s="658"/>
      <c r="B175" s="659"/>
      <c r="C175" s="659"/>
      <c r="D175" s="660"/>
    </row>
    <row r="176" spans="1:4" outlineLevel="1" x14ac:dyDescent="0.35">
      <c r="A176" s="64">
        <v>5</v>
      </c>
      <c r="B176" s="644" t="s">
        <v>250</v>
      </c>
      <c r="C176" s="645"/>
      <c r="D176" s="110" t="s">
        <v>35</v>
      </c>
    </row>
    <row r="177" spans="1:4" outlineLevel="1" x14ac:dyDescent="0.35">
      <c r="A177" s="111" t="s">
        <v>36</v>
      </c>
      <c r="B177" s="655" t="s">
        <v>343</v>
      </c>
      <c r="C177" s="656"/>
      <c r="D177" s="133">
        <f>INSUMOS!H12</f>
        <v>25.07</v>
      </c>
    </row>
    <row r="178" spans="1:4" outlineLevel="1" x14ac:dyDescent="0.35">
      <c r="A178" s="111" t="s">
        <v>16</v>
      </c>
      <c r="B178" s="655" t="s">
        <v>369</v>
      </c>
      <c r="C178" s="656"/>
      <c r="D178" s="151">
        <f>INSUMOS!H33</f>
        <v>23.01</v>
      </c>
    </row>
    <row r="179" spans="1:4" outlineLevel="1" x14ac:dyDescent="0.35">
      <c r="A179" s="111" t="s">
        <v>17</v>
      </c>
      <c r="B179" s="640" t="s">
        <v>326</v>
      </c>
      <c r="C179" s="642"/>
      <c r="D179" s="151">
        <f>MATERIAIS!J125</f>
        <v>440.15</v>
      </c>
    </row>
    <row r="180" spans="1:4" outlineLevel="1" x14ac:dyDescent="0.35">
      <c r="A180" s="111" t="s">
        <v>19</v>
      </c>
      <c r="B180" s="640" t="s">
        <v>325</v>
      </c>
      <c r="C180" s="642"/>
      <c r="D180" s="151">
        <f>EQUIPAMENTOS!K134</f>
        <v>17.73</v>
      </c>
    </row>
    <row r="181" spans="1:4" outlineLevel="1" x14ac:dyDescent="0.35">
      <c r="A181" s="111" t="s">
        <v>22</v>
      </c>
      <c r="B181" s="705" t="s">
        <v>39</v>
      </c>
      <c r="C181" s="706"/>
      <c r="D181" s="130">
        <v>0</v>
      </c>
    </row>
    <row r="182" spans="1:4" outlineLevel="1" x14ac:dyDescent="0.35">
      <c r="A182" s="111" t="s">
        <v>24</v>
      </c>
      <c r="B182" s="705" t="s">
        <v>39</v>
      </c>
      <c r="C182" s="706"/>
      <c r="D182" s="130">
        <v>0</v>
      </c>
    </row>
    <row r="183" spans="1:4" x14ac:dyDescent="0.35">
      <c r="A183" s="644" t="s">
        <v>11</v>
      </c>
      <c r="B183" s="657"/>
      <c r="C183" s="645"/>
      <c r="D183" s="116">
        <f>SUM(D177:D181)</f>
        <v>505.96</v>
      </c>
    </row>
    <row r="184" spans="1:4" x14ac:dyDescent="0.35">
      <c r="A184" s="646"/>
      <c r="B184" s="647"/>
      <c r="C184" s="647"/>
      <c r="D184" s="648"/>
    </row>
    <row r="185" spans="1:4" x14ac:dyDescent="0.35">
      <c r="A185" s="649" t="s">
        <v>70</v>
      </c>
      <c r="B185" s="649"/>
      <c r="C185" s="649"/>
      <c r="D185" s="152">
        <f>D39+D83+D126+D172+D183</f>
        <v>3602.61</v>
      </c>
    </row>
    <row r="186" spans="1:4" x14ac:dyDescent="0.35">
      <c r="A186" s="650"/>
      <c r="B186" s="650"/>
      <c r="C186" s="650"/>
      <c r="D186" s="650"/>
    </row>
    <row r="187" spans="1:4" x14ac:dyDescent="0.35">
      <c r="A187" s="651" t="s">
        <v>71</v>
      </c>
      <c r="B187" s="651"/>
      <c r="C187" s="651"/>
      <c r="D187" s="651"/>
    </row>
    <row r="188" spans="1:4" outlineLevel="1" x14ac:dyDescent="0.35">
      <c r="A188" s="652"/>
      <c r="B188" s="653"/>
      <c r="C188" s="653"/>
      <c r="D188" s="654"/>
    </row>
    <row r="189" spans="1:4" outlineLevel="1" x14ac:dyDescent="0.35">
      <c r="A189" s="64">
        <v>6</v>
      </c>
      <c r="B189" s="117" t="s">
        <v>72</v>
      </c>
      <c r="C189" s="110" t="s">
        <v>44</v>
      </c>
      <c r="D189" s="110" t="s">
        <v>35</v>
      </c>
    </row>
    <row r="190" spans="1:4" outlineLevel="1" x14ac:dyDescent="0.35">
      <c r="A190" s="111" t="s">
        <v>36</v>
      </c>
      <c r="B190" s="31" t="s">
        <v>73</v>
      </c>
      <c r="C190" s="70">
        <f>'SR - ASG int'!C189</f>
        <v>2.6499999999999999E-2</v>
      </c>
      <c r="D190" s="105">
        <f>C190*D185</f>
        <v>95.47</v>
      </c>
    </row>
    <row r="191" spans="1:4" outlineLevel="1" x14ac:dyDescent="0.35">
      <c r="A191" s="638" t="s">
        <v>1</v>
      </c>
      <c r="B191" s="639"/>
      <c r="C191" s="643"/>
      <c r="D191" s="105">
        <f>D185+D190</f>
        <v>3698.08</v>
      </c>
    </row>
    <row r="192" spans="1:4" outlineLevel="1" x14ac:dyDescent="0.35">
      <c r="A192" s="111" t="s">
        <v>16</v>
      </c>
      <c r="B192" s="31" t="s">
        <v>74</v>
      </c>
      <c r="C192" s="70">
        <f>'SR - ASG int'!C191</f>
        <v>0.1087</v>
      </c>
      <c r="D192" s="105">
        <f>C192*D191</f>
        <v>401.98</v>
      </c>
    </row>
    <row r="193" spans="1:4" outlineLevel="1" x14ac:dyDescent="0.35">
      <c r="A193" s="638" t="s">
        <v>1</v>
      </c>
      <c r="B193" s="639"/>
      <c r="C193" s="639"/>
      <c r="D193" s="105">
        <f>D192+D191</f>
        <v>4100.0600000000004</v>
      </c>
    </row>
    <row r="194" spans="1:4" outlineLevel="1" x14ac:dyDescent="0.35">
      <c r="A194" s="111" t="s">
        <v>17</v>
      </c>
      <c r="B194" s="640" t="s">
        <v>75</v>
      </c>
      <c r="C194" s="641"/>
      <c r="D194" s="642"/>
    </row>
    <row r="195" spans="1:4" outlineLevel="1" x14ac:dyDescent="0.35">
      <c r="A195" s="153"/>
      <c r="B195" s="63" t="s">
        <v>76</v>
      </c>
      <c r="C195" s="70">
        <v>6.4999999999999997E-3</v>
      </c>
      <c r="D195" s="105">
        <f>(D193/(1-C198)*C195)</f>
        <v>28.55</v>
      </c>
    </row>
    <row r="196" spans="1:4" outlineLevel="1" x14ac:dyDescent="0.35">
      <c r="A196" s="153"/>
      <c r="B196" s="63" t="s">
        <v>77</v>
      </c>
      <c r="C196" s="70">
        <v>0.03</v>
      </c>
      <c r="D196" s="105">
        <f>(D193/(1-C198)*C196)</f>
        <v>131.76</v>
      </c>
    </row>
    <row r="197" spans="1:4" outlineLevel="1" x14ac:dyDescent="0.35">
      <c r="A197" s="153"/>
      <c r="B197" s="63" t="s">
        <v>297</v>
      </c>
      <c r="C197" s="51">
        <v>0.03</v>
      </c>
      <c r="D197" s="105">
        <f>(D193/(1-C198)*C197)</f>
        <v>131.76</v>
      </c>
    </row>
    <row r="198" spans="1:4" outlineLevel="1" x14ac:dyDescent="0.35">
      <c r="A198" s="638" t="s">
        <v>78</v>
      </c>
      <c r="B198" s="643"/>
      <c r="C198" s="52">
        <f>SUM(C195:C197)</f>
        <v>6.6500000000000004E-2</v>
      </c>
      <c r="D198" s="105">
        <f>SUM(D195:D197)</f>
        <v>292.07</v>
      </c>
    </row>
    <row r="199" spans="1:4" x14ac:dyDescent="0.35">
      <c r="A199" s="644" t="s">
        <v>11</v>
      </c>
      <c r="B199" s="645"/>
      <c r="C199" s="53">
        <f>(1+C190)*(1+C192)*(1/(1-C198))-1</f>
        <v>0.21920000000000001</v>
      </c>
      <c r="D199" s="108">
        <f>SUM(D198+D190+D192)</f>
        <v>789.52</v>
      </c>
    </row>
    <row r="200" spans="1:4" x14ac:dyDescent="0.35">
      <c r="A200" s="646"/>
      <c r="B200" s="647"/>
      <c r="C200" s="647"/>
      <c r="D200" s="648"/>
    </row>
    <row r="201" spans="1:4" x14ac:dyDescent="0.35">
      <c r="A201" s="634" t="s">
        <v>79</v>
      </c>
      <c r="B201" s="635"/>
      <c r="C201" s="636"/>
      <c r="D201" s="54" t="s">
        <v>35</v>
      </c>
    </row>
    <row r="202" spans="1:4" x14ac:dyDescent="0.35">
      <c r="A202" s="632" t="s">
        <v>80</v>
      </c>
      <c r="B202" s="637"/>
      <c r="C202" s="637"/>
      <c r="D202" s="633"/>
    </row>
    <row r="203" spans="1:4" x14ac:dyDescent="0.35">
      <c r="A203" s="65" t="s">
        <v>36</v>
      </c>
      <c r="B203" s="632" t="s">
        <v>81</v>
      </c>
      <c r="C203" s="633"/>
      <c r="D203" s="104">
        <f>D39</f>
        <v>1457.5</v>
      </c>
    </row>
    <row r="204" spans="1:4" x14ac:dyDescent="0.35">
      <c r="A204" s="65" t="s">
        <v>16</v>
      </c>
      <c r="B204" s="632" t="s">
        <v>82</v>
      </c>
      <c r="C204" s="633"/>
      <c r="D204" s="104">
        <f>D83</f>
        <v>1239.79</v>
      </c>
    </row>
    <row r="205" spans="1:4" x14ac:dyDescent="0.35">
      <c r="A205" s="65" t="s">
        <v>17</v>
      </c>
      <c r="B205" s="632" t="s">
        <v>83</v>
      </c>
      <c r="C205" s="633"/>
      <c r="D205" s="104">
        <f>D126</f>
        <v>120.7</v>
      </c>
    </row>
    <row r="206" spans="1:4" x14ac:dyDescent="0.35">
      <c r="A206" s="65" t="s">
        <v>19</v>
      </c>
      <c r="B206" s="632" t="s">
        <v>84</v>
      </c>
      <c r="C206" s="633"/>
      <c r="D206" s="104">
        <f>D172</f>
        <v>278.66000000000003</v>
      </c>
    </row>
    <row r="207" spans="1:4" x14ac:dyDescent="0.35">
      <c r="A207" s="65" t="s">
        <v>22</v>
      </c>
      <c r="B207" s="632" t="s">
        <v>85</v>
      </c>
      <c r="C207" s="633"/>
      <c r="D207" s="104">
        <f>D183</f>
        <v>505.96</v>
      </c>
    </row>
    <row r="208" spans="1:4" x14ac:dyDescent="0.4">
      <c r="A208" s="629" t="s">
        <v>86</v>
      </c>
      <c r="B208" s="630"/>
      <c r="C208" s="631"/>
      <c r="D208" s="104">
        <f>SUM(D203:D207)</f>
        <v>3602.61</v>
      </c>
    </row>
    <row r="209" spans="1:4" x14ac:dyDescent="0.35">
      <c r="A209" s="65" t="s">
        <v>87</v>
      </c>
      <c r="B209" s="632" t="s">
        <v>88</v>
      </c>
      <c r="C209" s="633"/>
      <c r="D209" s="104">
        <f>D199</f>
        <v>789.52</v>
      </c>
    </row>
    <row r="210" spans="1:4" x14ac:dyDescent="0.35">
      <c r="A210" s="634" t="s">
        <v>89</v>
      </c>
      <c r="B210" s="635"/>
      <c r="C210" s="636"/>
      <c r="D210" s="154">
        <f xml:space="preserve"> D208+D209</f>
        <v>4392.13</v>
      </c>
    </row>
    <row r="211" spans="1:4" x14ac:dyDescent="0.4">
      <c r="A211" s="24"/>
      <c r="B211" s="24"/>
      <c r="C211" s="24"/>
      <c r="D211" s="24"/>
    </row>
    <row r="212" spans="1:4" thickBot="1" x14ac:dyDescent="0.4">
      <c r="A212" s="17"/>
      <c r="B212" s="17"/>
      <c r="C212" s="17"/>
      <c r="D212" s="17"/>
    </row>
    <row r="213" spans="1:4" x14ac:dyDescent="0.35">
      <c r="A213" s="702" t="s">
        <v>274</v>
      </c>
      <c r="B213" s="703"/>
      <c r="C213" s="703"/>
      <c r="D213" s="704"/>
    </row>
    <row r="214" spans="1:4" ht="30" x14ac:dyDescent="0.35">
      <c r="A214" s="170" t="s">
        <v>275</v>
      </c>
      <c r="B214" s="171" t="s">
        <v>278</v>
      </c>
      <c r="C214" s="172" t="s">
        <v>276</v>
      </c>
      <c r="D214" s="173" t="s">
        <v>277</v>
      </c>
    </row>
    <row r="215" spans="1:4" ht="15.5" thickBot="1" x14ac:dyDescent="0.4">
      <c r="A215" s="174">
        <v>9.9999999999999995E-8</v>
      </c>
      <c r="B215" s="178">
        <f>1/(C11/A215)</f>
        <v>1.168E-10</v>
      </c>
      <c r="C215" s="175">
        <f>D210</f>
        <v>4392.13</v>
      </c>
      <c r="D215" s="181">
        <f>C215*B215</f>
        <v>5.13E-7</v>
      </c>
    </row>
  </sheetData>
  <mergeCells count="108">
    <mergeCell ref="A208:C208"/>
    <mergeCell ref="B209:C209"/>
    <mergeCell ref="A210:C210"/>
    <mergeCell ref="A213:D213"/>
    <mergeCell ref="B180:C180"/>
    <mergeCell ref="B181:C181"/>
    <mergeCell ref="A202:D202"/>
    <mergeCell ref="B203:C203"/>
    <mergeCell ref="B204:C204"/>
    <mergeCell ref="B205:C205"/>
    <mergeCell ref="B206:C206"/>
    <mergeCell ref="B207:C207"/>
    <mergeCell ref="A193:C193"/>
    <mergeCell ref="B194:D194"/>
    <mergeCell ref="A198:B198"/>
    <mergeCell ref="A199:B199"/>
    <mergeCell ref="A200:D200"/>
    <mergeCell ref="A201:C201"/>
    <mergeCell ref="A184:D184"/>
    <mergeCell ref="A185:C185"/>
    <mergeCell ref="A186:D186"/>
    <mergeCell ref="A187:D187"/>
    <mergeCell ref="A188:D188"/>
    <mergeCell ref="A191:C191"/>
    <mergeCell ref="B176:C176"/>
    <mergeCell ref="B177:C177"/>
    <mergeCell ref="B178:C178"/>
    <mergeCell ref="B179:C179"/>
    <mergeCell ref="B182:C182"/>
    <mergeCell ref="A183:C183"/>
    <mergeCell ref="A168:D168"/>
    <mergeCell ref="A169:B169"/>
    <mergeCell ref="A172:C172"/>
    <mergeCell ref="A173:D173"/>
    <mergeCell ref="A174:D174"/>
    <mergeCell ref="A175:D175"/>
    <mergeCell ref="A155:D155"/>
    <mergeCell ref="A156:B156"/>
    <mergeCell ref="A157:A164"/>
    <mergeCell ref="A165:B165"/>
    <mergeCell ref="A166:D166"/>
    <mergeCell ref="A167:B167"/>
    <mergeCell ref="A138:B138"/>
    <mergeCell ref="A139:D139"/>
    <mergeCell ref="A140:A144"/>
    <mergeCell ref="A145:B145"/>
    <mergeCell ref="A146:D146"/>
    <mergeCell ref="A154:B154"/>
    <mergeCell ref="A123:B123"/>
    <mergeCell ref="A124:B124"/>
    <mergeCell ref="A126:B126"/>
    <mergeCell ref="A127:D127"/>
    <mergeCell ref="A128:D128"/>
    <mergeCell ref="A129:D129"/>
    <mergeCell ref="A112:D112"/>
    <mergeCell ref="A116:B116"/>
    <mergeCell ref="A117:D117"/>
    <mergeCell ref="A118:B118"/>
    <mergeCell ref="A121:C121"/>
    <mergeCell ref="A122:B122"/>
    <mergeCell ref="A84:D84"/>
    <mergeCell ref="A85:D85"/>
    <mergeCell ref="A86:D86"/>
    <mergeCell ref="A99:B99"/>
    <mergeCell ref="A100:D100"/>
    <mergeCell ref="A111:B111"/>
    <mergeCell ref="A63:B63"/>
    <mergeCell ref="A64:D64"/>
    <mergeCell ref="A77:C77"/>
    <mergeCell ref="A78:D78"/>
    <mergeCell ref="A79:B79"/>
    <mergeCell ref="A83:C83"/>
    <mergeCell ref="A45:B45"/>
    <mergeCell ref="A46:D46"/>
    <mergeCell ref="A47:D47"/>
    <mergeCell ref="A48:D48"/>
    <mergeCell ref="A52:B52"/>
    <mergeCell ref="A53:D53"/>
    <mergeCell ref="A23:D23"/>
    <mergeCell ref="A24:D24"/>
    <mergeCell ref="A25:D25"/>
    <mergeCell ref="B26:C26"/>
    <mergeCell ref="A39:C39"/>
    <mergeCell ref="A40:D40"/>
    <mergeCell ref="C17:D17"/>
    <mergeCell ref="A18:D18"/>
    <mergeCell ref="B19:C19"/>
    <mergeCell ref="B20:C20"/>
    <mergeCell ref="B21:C21"/>
    <mergeCell ref="B22:C22"/>
    <mergeCell ref="C11:D11"/>
    <mergeCell ref="C12:D12"/>
    <mergeCell ref="A13:D13"/>
    <mergeCell ref="A14:D14"/>
    <mergeCell ref="A15:D15"/>
    <mergeCell ref="C16:D16"/>
    <mergeCell ref="A5:D5"/>
    <mergeCell ref="C6:D6"/>
    <mergeCell ref="C7:D7"/>
    <mergeCell ref="C8:D8"/>
    <mergeCell ref="C9:D9"/>
    <mergeCell ref="C10:D10"/>
    <mergeCell ref="A1:D1"/>
    <mergeCell ref="A2:B2"/>
    <mergeCell ref="C2:D2"/>
    <mergeCell ref="A3:B3"/>
    <mergeCell ref="C3:D3"/>
    <mergeCell ref="A4:D4"/>
  </mergeCells>
  <pageMargins left="0.51181102362204722" right="0.51181102362204722" top="0.78740157480314965" bottom="0.78740157480314965" header="0.31496062992125984" footer="0.31496062992125984"/>
  <pageSetup scale="21" orientation="portrait" horizontalDpi="30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2686F-BE05-4327-A0E7-01C03395A49A}">
  <sheetPr>
    <pageSetUpPr fitToPage="1"/>
  </sheetPr>
  <dimension ref="A1:D215"/>
  <sheetViews>
    <sheetView view="pageBreakPreview" topLeftCell="A64" zoomScale="85" zoomScaleNormal="85" zoomScaleSheetLayoutView="85" workbookViewId="0">
      <pane ySplit="5090" topLeftCell="A198" activePane="bottomLeft"/>
      <selection activeCell="E75" sqref="E75"/>
      <selection pane="bottomLeft" activeCell="D215" sqref="D215"/>
    </sheetView>
  </sheetViews>
  <sheetFormatPr defaultColWidth="9.1796875" defaultRowHeight="15" customHeight="1" outlineLevelRow="3" x14ac:dyDescent="0.35"/>
  <cols>
    <col min="1" max="1" width="16.7265625" customWidth="1"/>
    <col min="2" max="2" width="76.81640625" customWidth="1"/>
    <col min="3" max="3" width="22.81640625" customWidth="1"/>
    <col min="4" max="4" width="23.54296875" customWidth="1"/>
  </cols>
  <sheetData>
    <row r="1" spans="1:4" x14ac:dyDescent="0.35">
      <c r="A1" s="683" t="s">
        <v>6</v>
      </c>
      <c r="B1" s="683"/>
      <c r="C1" s="683"/>
      <c r="D1" s="683"/>
    </row>
    <row r="2" spans="1:4" x14ac:dyDescent="0.35">
      <c r="A2" s="684" t="s">
        <v>12</v>
      </c>
      <c r="B2" s="684"/>
      <c r="C2" s="685" t="s">
        <v>519</v>
      </c>
      <c r="D2" s="686"/>
    </row>
    <row r="3" spans="1:4" x14ac:dyDescent="0.35">
      <c r="A3" s="684" t="s">
        <v>13</v>
      </c>
      <c r="B3" s="684"/>
      <c r="C3" s="685" t="s">
        <v>520</v>
      </c>
      <c r="D3" s="686"/>
    </row>
    <row r="4" spans="1:4" x14ac:dyDescent="0.35">
      <c r="A4" s="687"/>
      <c r="B4" s="687"/>
      <c r="C4" s="687"/>
      <c r="D4" s="687"/>
    </row>
    <row r="5" spans="1:4" x14ac:dyDescent="0.35">
      <c r="A5" s="687" t="s">
        <v>14</v>
      </c>
      <c r="B5" s="687"/>
      <c r="C5" s="687"/>
      <c r="D5" s="687"/>
    </row>
    <row r="6" spans="1:4" x14ac:dyDescent="0.35">
      <c r="A6" s="65" t="s">
        <v>15</v>
      </c>
      <c r="B6" s="63" t="s">
        <v>5</v>
      </c>
      <c r="C6" s="707" t="s">
        <v>144</v>
      </c>
      <c r="D6" s="708"/>
    </row>
    <row r="7" spans="1:4" x14ac:dyDescent="0.35">
      <c r="A7" s="65" t="s">
        <v>16</v>
      </c>
      <c r="B7" s="63" t="s">
        <v>4</v>
      </c>
      <c r="C7" s="690" t="s">
        <v>504</v>
      </c>
      <c r="D7" s="690"/>
    </row>
    <row r="8" spans="1:4" x14ac:dyDescent="0.35">
      <c r="A8" s="25" t="s">
        <v>17</v>
      </c>
      <c r="B8" s="26" t="s">
        <v>18</v>
      </c>
      <c r="C8" s="722" t="s">
        <v>521</v>
      </c>
      <c r="D8" s="723"/>
    </row>
    <row r="9" spans="1:4" x14ac:dyDescent="0.35">
      <c r="A9" s="65" t="s">
        <v>19</v>
      </c>
      <c r="B9" s="63" t="s">
        <v>20</v>
      </c>
      <c r="C9" s="700" t="s">
        <v>21</v>
      </c>
      <c r="D9" s="701"/>
    </row>
    <row r="10" spans="1:4" x14ac:dyDescent="0.35">
      <c r="A10" s="65" t="s">
        <v>22</v>
      </c>
      <c r="B10" s="63" t="s">
        <v>23</v>
      </c>
      <c r="C10" s="700" t="s">
        <v>262</v>
      </c>
      <c r="D10" s="701"/>
    </row>
    <row r="11" spans="1:4" x14ac:dyDescent="0.35">
      <c r="A11" s="65" t="s">
        <v>24</v>
      </c>
      <c r="B11" s="63" t="s">
        <v>251</v>
      </c>
      <c r="C11" s="691">
        <f>Resumo!F15/2</f>
        <v>855.94</v>
      </c>
      <c r="D11" s="692"/>
    </row>
    <row r="12" spans="1:4" x14ac:dyDescent="0.35">
      <c r="A12" s="65" t="s">
        <v>25</v>
      </c>
      <c r="B12" s="63" t="s">
        <v>26</v>
      </c>
      <c r="C12" s="693">
        <f>Resumo!I5</f>
        <v>20</v>
      </c>
      <c r="D12" s="694"/>
    </row>
    <row r="13" spans="1:4" x14ac:dyDescent="0.35">
      <c r="A13" s="695"/>
      <c r="B13" s="696"/>
      <c r="C13" s="696"/>
      <c r="D13" s="696"/>
    </row>
    <row r="14" spans="1:4" x14ac:dyDescent="0.35">
      <c r="A14" s="697" t="s">
        <v>27</v>
      </c>
      <c r="B14" s="698"/>
      <c r="C14" s="698"/>
      <c r="D14" s="699"/>
    </row>
    <row r="15" spans="1:4" x14ac:dyDescent="0.35">
      <c r="A15" s="690" t="s">
        <v>28</v>
      </c>
      <c r="B15" s="690"/>
      <c r="C15" s="690"/>
      <c r="D15" s="690"/>
    </row>
    <row r="16" spans="1:4" x14ac:dyDescent="0.35">
      <c r="A16" s="65">
        <v>1</v>
      </c>
      <c r="B16" s="63" t="s">
        <v>29</v>
      </c>
      <c r="C16" s="700" t="s">
        <v>266</v>
      </c>
      <c r="D16" s="701" t="s">
        <v>0</v>
      </c>
    </row>
    <row r="17" spans="1:4" x14ac:dyDescent="0.35">
      <c r="A17" s="65">
        <v>2</v>
      </c>
      <c r="B17" s="27" t="s">
        <v>30</v>
      </c>
      <c r="C17" s="688" t="s">
        <v>263</v>
      </c>
      <c r="D17" s="689"/>
    </row>
    <row r="18" spans="1:4" x14ac:dyDescent="0.35">
      <c r="A18" s="690" t="s">
        <v>31</v>
      </c>
      <c r="B18" s="690"/>
      <c r="C18" s="690"/>
      <c r="D18" s="690"/>
    </row>
    <row r="19" spans="1:4" x14ac:dyDescent="0.4">
      <c r="A19" s="65">
        <v>3</v>
      </c>
      <c r="B19" s="632" t="s">
        <v>3</v>
      </c>
      <c r="C19" s="633"/>
      <c r="D19" s="103">
        <v>1325</v>
      </c>
    </row>
    <row r="20" spans="1:4" x14ac:dyDescent="0.4">
      <c r="A20" s="65">
        <v>4</v>
      </c>
      <c r="B20" s="632" t="s">
        <v>252</v>
      </c>
      <c r="C20" s="633"/>
      <c r="D20" s="155">
        <v>220</v>
      </c>
    </row>
    <row r="21" spans="1:4" x14ac:dyDescent="0.35">
      <c r="A21" s="65">
        <v>5</v>
      </c>
      <c r="B21" s="632" t="s">
        <v>32</v>
      </c>
      <c r="C21" s="633"/>
      <c r="D21" s="73" t="s">
        <v>267</v>
      </c>
    </row>
    <row r="22" spans="1:4" x14ac:dyDescent="0.35">
      <c r="A22" s="65">
        <v>6</v>
      </c>
      <c r="B22" s="632" t="s">
        <v>2</v>
      </c>
      <c r="C22" s="633"/>
      <c r="D22" s="74">
        <v>44562</v>
      </c>
    </row>
    <row r="23" spans="1:4" x14ac:dyDescent="0.35">
      <c r="A23" s="700"/>
      <c r="B23" s="711"/>
      <c r="C23" s="711"/>
      <c r="D23" s="701"/>
    </row>
    <row r="24" spans="1:4" x14ac:dyDescent="0.35">
      <c r="A24" s="712" t="s">
        <v>33</v>
      </c>
      <c r="B24" s="712"/>
      <c r="C24" s="712"/>
      <c r="D24" s="712"/>
    </row>
    <row r="25" spans="1:4" x14ac:dyDescent="0.35">
      <c r="A25" s="713"/>
      <c r="B25" s="714"/>
      <c r="C25" s="714"/>
      <c r="D25" s="694"/>
    </row>
    <row r="26" spans="1:4" x14ac:dyDescent="0.35">
      <c r="A26" s="64">
        <v>1</v>
      </c>
      <c r="B26" s="634" t="s">
        <v>34</v>
      </c>
      <c r="C26" s="636"/>
      <c r="D26" s="64" t="s">
        <v>35</v>
      </c>
    </row>
    <row r="27" spans="1:4" outlineLevel="1" x14ac:dyDescent="0.35">
      <c r="A27" s="65" t="s">
        <v>36</v>
      </c>
      <c r="B27" s="63" t="s">
        <v>146</v>
      </c>
      <c r="C27" s="71">
        <f>'SR - ASG int'!C27</f>
        <v>220</v>
      </c>
      <c r="D27" s="104">
        <f>D19/220*C27</f>
        <v>1325</v>
      </c>
    </row>
    <row r="28" spans="1:4" outlineLevel="1" x14ac:dyDescent="0.35">
      <c r="A28" s="65" t="s">
        <v>16</v>
      </c>
      <c r="B28" s="63" t="s">
        <v>37</v>
      </c>
      <c r="C28" s="28">
        <v>0.1</v>
      </c>
      <c r="D28" s="104">
        <f>D27*10%</f>
        <v>132.5</v>
      </c>
    </row>
    <row r="29" spans="1:4" outlineLevel="1" x14ac:dyDescent="0.35">
      <c r="A29" s="65" t="s">
        <v>17</v>
      </c>
      <c r="B29" s="63" t="s">
        <v>38</v>
      </c>
      <c r="C29" s="28">
        <v>0.4</v>
      </c>
      <c r="D29" s="104">
        <v>0</v>
      </c>
    </row>
    <row r="30" spans="1:4" outlineLevel="1" x14ac:dyDescent="0.35">
      <c r="A30" s="65" t="s">
        <v>19</v>
      </c>
      <c r="B30" s="63" t="s">
        <v>148</v>
      </c>
      <c r="C30" s="156">
        <v>0</v>
      </c>
      <c r="D30" s="105">
        <f>SUM(D31:D32)</f>
        <v>0</v>
      </c>
    </row>
    <row r="31" spans="1:4" outlineLevel="2" x14ac:dyDescent="0.35">
      <c r="A31" s="78" t="s">
        <v>111</v>
      </c>
      <c r="B31" s="63" t="s">
        <v>149</v>
      </c>
      <c r="C31" s="79">
        <v>0.2</v>
      </c>
      <c r="D31" s="105">
        <f>(SUM(D27:D29)/C27)*C31*15*C30</f>
        <v>0</v>
      </c>
    </row>
    <row r="32" spans="1:4" outlineLevel="2" x14ac:dyDescent="0.35">
      <c r="A32" s="78" t="s">
        <v>112</v>
      </c>
      <c r="B32" s="63" t="s">
        <v>150</v>
      </c>
      <c r="C32" s="80">
        <f>C30*(60/52.5)/8</f>
        <v>0</v>
      </c>
      <c r="D32" s="105">
        <f>(SUM(D27:D29)/C27)*(C31)*15*C32</f>
        <v>0</v>
      </c>
    </row>
    <row r="33" spans="1:4" outlineLevel="1" x14ac:dyDescent="0.35">
      <c r="A33" s="65" t="s">
        <v>22</v>
      </c>
      <c r="B33" s="63" t="s">
        <v>151</v>
      </c>
      <c r="C33" s="28" t="s">
        <v>152</v>
      </c>
      <c r="D33" s="1">
        <f>SUM(D34:D37)</f>
        <v>0</v>
      </c>
    </row>
    <row r="34" spans="1:4" outlineLevel="2" x14ac:dyDescent="0.35">
      <c r="A34" s="81" t="s">
        <v>153</v>
      </c>
      <c r="B34" s="82" t="s">
        <v>154</v>
      </c>
      <c r="C34" s="83">
        <v>0</v>
      </c>
      <c r="D34" s="106">
        <f>(SUM($D$27:$D$29)/$C$27)*C34*1.5</f>
        <v>0</v>
      </c>
    </row>
    <row r="35" spans="1:4" outlineLevel="2" x14ac:dyDescent="0.35">
      <c r="A35" s="81" t="s">
        <v>155</v>
      </c>
      <c r="B35" s="84" t="s">
        <v>156</v>
      </c>
      <c r="C35" s="85">
        <v>0</v>
      </c>
      <c r="D35" s="106">
        <f>(SUM($D$27:$D$29)/$C$27)*C35*((60/52.5)*1.2*1.5)</f>
        <v>0</v>
      </c>
    </row>
    <row r="36" spans="1:4" outlineLevel="2" x14ac:dyDescent="0.35">
      <c r="A36" s="81" t="s">
        <v>157</v>
      </c>
      <c r="B36" s="82" t="s">
        <v>158</v>
      </c>
      <c r="C36" s="86">
        <f>C34*0.1429</f>
        <v>0</v>
      </c>
      <c r="D36" s="106">
        <f>(SUM($D$27:$D$29)/$C$27)*C36*2</f>
        <v>0</v>
      </c>
    </row>
    <row r="37" spans="1:4" outlineLevel="2" x14ac:dyDescent="0.35">
      <c r="A37" s="81" t="s">
        <v>159</v>
      </c>
      <c r="B37" s="82" t="s">
        <v>160</v>
      </c>
      <c r="C37" s="86">
        <f>C34*0.1429</f>
        <v>0</v>
      </c>
      <c r="D37" s="106">
        <f>(SUM($D$27:$D$29)/$C$27)*C37*((60/52.5)*1.2*2)</f>
        <v>0</v>
      </c>
    </row>
    <row r="38" spans="1:4" outlineLevel="1" x14ac:dyDescent="0.35">
      <c r="A38" s="65" t="s">
        <v>24</v>
      </c>
      <c r="B38" s="55" t="s">
        <v>526</v>
      </c>
      <c r="C38" s="56">
        <v>0</v>
      </c>
      <c r="D38" s="107">
        <v>58.67</v>
      </c>
    </row>
    <row r="39" spans="1:4" x14ac:dyDescent="0.35">
      <c r="A39" s="634" t="s">
        <v>40</v>
      </c>
      <c r="B39" s="635"/>
      <c r="C39" s="636"/>
      <c r="D39" s="108">
        <f>SUM(D27:D30,D33,D38)</f>
        <v>1516.17</v>
      </c>
    </row>
    <row r="40" spans="1:4" x14ac:dyDescent="0.35">
      <c r="A40" s="650"/>
      <c r="B40" s="650"/>
      <c r="C40" s="650"/>
      <c r="D40" s="650"/>
    </row>
    <row r="41" spans="1:4" outlineLevel="1" x14ac:dyDescent="0.35">
      <c r="A41" s="87" t="s">
        <v>161</v>
      </c>
      <c r="B41" s="109" t="s">
        <v>162</v>
      </c>
      <c r="C41" s="110" t="s">
        <v>163</v>
      </c>
      <c r="D41" s="110" t="s">
        <v>35</v>
      </c>
    </row>
    <row r="42" spans="1:4" outlineLevel="1" x14ac:dyDescent="0.35">
      <c r="A42" s="111" t="s">
        <v>36</v>
      </c>
      <c r="B42" s="27" t="s">
        <v>164</v>
      </c>
      <c r="C42" s="88">
        <v>0</v>
      </c>
      <c r="D42" s="112">
        <f>(SUM(D27)/$C$27)*C42*1.5</f>
        <v>0</v>
      </c>
    </row>
    <row r="43" spans="1:4" outlineLevel="1" x14ac:dyDescent="0.35">
      <c r="A43" s="113" t="s">
        <v>17</v>
      </c>
      <c r="B43" s="114" t="s">
        <v>165</v>
      </c>
      <c r="C43" s="115">
        <v>0</v>
      </c>
      <c r="D43" s="104">
        <f>C43*177</f>
        <v>0</v>
      </c>
    </row>
    <row r="44" spans="1:4" outlineLevel="1" x14ac:dyDescent="0.35">
      <c r="A44" s="65" t="s">
        <v>19</v>
      </c>
      <c r="B44" s="55" t="s">
        <v>39</v>
      </c>
      <c r="C44" s="56">
        <v>0</v>
      </c>
      <c r="D44" s="107">
        <v>0</v>
      </c>
    </row>
    <row r="45" spans="1:4" x14ac:dyDescent="0.35">
      <c r="A45" s="644" t="s">
        <v>166</v>
      </c>
      <c r="B45" s="645"/>
      <c r="C45" s="30">
        <f>D45/D39</f>
        <v>0</v>
      </c>
      <c r="D45" s="116">
        <f>SUM(D42:D43)</f>
        <v>0</v>
      </c>
    </row>
    <row r="46" spans="1:4" x14ac:dyDescent="0.35">
      <c r="A46" s="646"/>
      <c r="B46" s="647"/>
      <c r="C46" s="647"/>
      <c r="D46" s="648"/>
    </row>
    <row r="47" spans="1:4" x14ac:dyDescent="0.35">
      <c r="A47" s="663" t="s">
        <v>41</v>
      </c>
      <c r="B47" s="664"/>
      <c r="C47" s="664"/>
      <c r="D47" s="665"/>
    </row>
    <row r="48" spans="1:4" outlineLevel="1" x14ac:dyDescent="0.35">
      <c r="A48" s="646"/>
      <c r="B48" s="647"/>
      <c r="C48" s="647"/>
      <c r="D48" s="648"/>
    </row>
    <row r="49" spans="1:4" outlineLevel="1" x14ac:dyDescent="0.35">
      <c r="A49" s="110" t="s">
        <v>42</v>
      </c>
      <c r="B49" s="109" t="s">
        <v>43</v>
      </c>
      <c r="C49" s="110" t="s">
        <v>44</v>
      </c>
      <c r="D49" s="110" t="s">
        <v>35</v>
      </c>
    </row>
    <row r="50" spans="1:4" outlineLevel="2" x14ac:dyDescent="0.35">
      <c r="A50" s="113" t="s">
        <v>36</v>
      </c>
      <c r="B50" s="114" t="s">
        <v>45</v>
      </c>
      <c r="C50" s="29">
        <f>1/12</f>
        <v>8.3299999999999999E-2</v>
      </c>
      <c r="D50" s="104">
        <f>C50*D39</f>
        <v>126.3</v>
      </c>
    </row>
    <row r="51" spans="1:4" outlineLevel="2" x14ac:dyDescent="0.35">
      <c r="A51" s="113" t="s">
        <v>16</v>
      </c>
      <c r="B51" s="114" t="s">
        <v>113</v>
      </c>
      <c r="C51" s="29">
        <f>IF(C12&gt;60,(1/C12/3)*5,IF(C12&gt;48,(1/C12/3)*4,IF(C12&gt;36,(1/C12/3)*3,IF(C12&gt;24,(1/C12/3)*2,IF(C12&gt;12,(1/C12/3)*1,0)))))</f>
        <v>1.67E-2</v>
      </c>
      <c r="D51" s="104">
        <f>C51*D39</f>
        <v>25.32</v>
      </c>
    </row>
    <row r="52" spans="1:4" outlineLevel="1" x14ac:dyDescent="0.35">
      <c r="A52" s="644" t="s">
        <v>11</v>
      </c>
      <c r="B52" s="645"/>
      <c r="C52" s="30">
        <f>SUM(C50:C51)</f>
        <v>0.1</v>
      </c>
      <c r="D52" s="116">
        <f>SUM(D50:D51)</f>
        <v>151.62</v>
      </c>
    </row>
    <row r="53" spans="1:4" outlineLevel="1" x14ac:dyDescent="0.35">
      <c r="A53" s="646"/>
      <c r="B53" s="647"/>
      <c r="C53" s="647"/>
      <c r="D53" s="648"/>
    </row>
    <row r="54" spans="1:4" outlineLevel="1" x14ac:dyDescent="0.35">
      <c r="A54" s="110" t="s">
        <v>46</v>
      </c>
      <c r="B54" s="117" t="s">
        <v>47</v>
      </c>
      <c r="C54" s="110" t="s">
        <v>44</v>
      </c>
      <c r="D54" s="118" t="s">
        <v>35</v>
      </c>
    </row>
    <row r="55" spans="1:4" outlineLevel="2" x14ac:dyDescent="0.35">
      <c r="A55" s="111" t="s">
        <v>36</v>
      </c>
      <c r="B55" s="31" t="s">
        <v>48</v>
      </c>
      <c r="C55" s="32">
        <v>0.2</v>
      </c>
      <c r="D55" s="104">
        <f t="shared" ref="D55:D62" si="0">C55*($D$39+$D$52)</f>
        <v>333.56</v>
      </c>
    </row>
    <row r="56" spans="1:4" outlineLevel="2" x14ac:dyDescent="0.35">
      <c r="A56" s="111" t="s">
        <v>16</v>
      </c>
      <c r="B56" s="31" t="s">
        <v>49</v>
      </c>
      <c r="C56" s="32">
        <v>2.5000000000000001E-2</v>
      </c>
      <c r="D56" s="104">
        <f t="shared" si="0"/>
        <v>41.69</v>
      </c>
    </row>
    <row r="57" spans="1:4" outlineLevel="2" x14ac:dyDescent="0.35">
      <c r="A57" s="111" t="s">
        <v>17</v>
      </c>
      <c r="B57" s="31" t="s">
        <v>167</v>
      </c>
      <c r="C57" s="66">
        <v>0.03</v>
      </c>
      <c r="D57" s="104">
        <f t="shared" si="0"/>
        <v>50.03</v>
      </c>
    </row>
    <row r="58" spans="1:4" outlineLevel="2" x14ac:dyDescent="0.35">
      <c r="A58" s="111" t="s">
        <v>19</v>
      </c>
      <c r="B58" s="31" t="s">
        <v>168</v>
      </c>
      <c r="C58" s="32">
        <v>1.4999999999999999E-2</v>
      </c>
      <c r="D58" s="104">
        <f t="shared" si="0"/>
        <v>25.02</v>
      </c>
    </row>
    <row r="59" spans="1:4" outlineLevel="2" x14ac:dyDescent="0.35">
      <c r="A59" s="111" t="s">
        <v>22</v>
      </c>
      <c r="B59" s="31" t="s">
        <v>169</v>
      </c>
      <c r="C59" s="32">
        <v>0.01</v>
      </c>
      <c r="D59" s="104">
        <f t="shared" si="0"/>
        <v>16.68</v>
      </c>
    </row>
    <row r="60" spans="1:4" outlineLevel="2" x14ac:dyDescent="0.35">
      <c r="A60" s="111" t="s">
        <v>24</v>
      </c>
      <c r="B60" s="31" t="s">
        <v>50</v>
      </c>
      <c r="C60" s="32">
        <v>6.0000000000000001E-3</v>
      </c>
      <c r="D60" s="104">
        <f t="shared" si="0"/>
        <v>10.01</v>
      </c>
    </row>
    <row r="61" spans="1:4" outlineLevel="2" x14ac:dyDescent="0.35">
      <c r="A61" s="111" t="s">
        <v>25</v>
      </c>
      <c r="B61" s="31" t="s">
        <v>51</v>
      </c>
      <c r="C61" s="32">
        <v>2E-3</v>
      </c>
      <c r="D61" s="104">
        <f t="shared" si="0"/>
        <v>3.34</v>
      </c>
    </row>
    <row r="62" spans="1:4" outlineLevel="2" x14ac:dyDescent="0.35">
      <c r="A62" s="111" t="s">
        <v>52</v>
      </c>
      <c r="B62" s="31" t="s">
        <v>53</v>
      </c>
      <c r="C62" s="32">
        <v>0.08</v>
      </c>
      <c r="D62" s="104">
        <f t="shared" si="0"/>
        <v>133.41999999999999</v>
      </c>
    </row>
    <row r="63" spans="1:4" outlineLevel="1" x14ac:dyDescent="0.35">
      <c r="A63" s="644" t="s">
        <v>11</v>
      </c>
      <c r="B63" s="645"/>
      <c r="C63" s="33">
        <f>SUM(C55:C62)</f>
        <v>0.36799999999999999</v>
      </c>
      <c r="D63" s="119">
        <f>SUM(D55:D62)</f>
        <v>613.75</v>
      </c>
    </row>
    <row r="64" spans="1:4" outlineLevel="1" x14ac:dyDescent="0.35">
      <c r="A64" s="646"/>
      <c r="B64" s="647"/>
      <c r="C64" s="647"/>
      <c r="D64" s="648"/>
    </row>
    <row r="65" spans="1:4" outlineLevel="1" x14ac:dyDescent="0.35">
      <c r="A65" s="110" t="s">
        <v>54</v>
      </c>
      <c r="B65" s="117" t="s">
        <v>55</v>
      </c>
      <c r="C65" s="110" t="s">
        <v>56</v>
      </c>
      <c r="D65" s="110" t="s">
        <v>35</v>
      </c>
    </row>
    <row r="66" spans="1:4" outlineLevel="2" x14ac:dyDescent="0.35">
      <c r="A66" s="111" t="s">
        <v>36</v>
      </c>
      <c r="B66" s="31" t="s">
        <v>57</v>
      </c>
      <c r="C66" s="120">
        <f>+PPA!C66</f>
        <v>3.75</v>
      </c>
      <c r="D66" s="121">
        <f>IF(D67+D68&gt;0,(D67+D68),0)</f>
        <v>85.5</v>
      </c>
    </row>
    <row r="67" spans="1:4" outlineLevel="3" x14ac:dyDescent="0.35">
      <c r="A67" s="122" t="s">
        <v>110</v>
      </c>
      <c r="B67" s="31" t="s">
        <v>170</v>
      </c>
      <c r="C67" s="123">
        <v>22</v>
      </c>
      <c r="D67" s="124">
        <f>C66*C67*2</f>
        <v>165</v>
      </c>
    </row>
    <row r="68" spans="1:4" outlineLevel="3" x14ac:dyDescent="0.35">
      <c r="A68" s="122" t="s">
        <v>114</v>
      </c>
      <c r="B68" s="31" t="s">
        <v>171</v>
      </c>
      <c r="C68" s="125">
        <v>0.06</v>
      </c>
      <c r="D68" s="124">
        <f>-D27*C68</f>
        <v>-79.5</v>
      </c>
    </row>
    <row r="69" spans="1:4" outlineLevel="2" x14ac:dyDescent="0.35">
      <c r="A69" s="111" t="s">
        <v>16</v>
      </c>
      <c r="B69" s="31" t="s">
        <v>58</v>
      </c>
      <c r="C69" s="382">
        <f>290/22</f>
        <v>13.182</v>
      </c>
      <c r="D69" s="121">
        <f>D70+D71</f>
        <v>290</v>
      </c>
    </row>
    <row r="70" spans="1:4" outlineLevel="3" x14ac:dyDescent="0.35">
      <c r="A70" s="122" t="s">
        <v>90</v>
      </c>
      <c r="B70" s="31" t="s">
        <v>172</v>
      </c>
      <c r="C70" s="123">
        <v>22</v>
      </c>
      <c r="D70" s="124">
        <f>C69*C70</f>
        <v>290</v>
      </c>
    </row>
    <row r="71" spans="1:4" outlineLevel="3" x14ac:dyDescent="0.35">
      <c r="A71" s="122" t="s">
        <v>115</v>
      </c>
      <c r="B71" s="31" t="s">
        <v>91</v>
      </c>
      <c r="C71" s="127">
        <f>'SR - ASG int'!C71</f>
        <v>0</v>
      </c>
      <c r="D71" s="124">
        <f>D70*C71</f>
        <v>0</v>
      </c>
    </row>
    <row r="72" spans="1:4" outlineLevel="2" x14ac:dyDescent="0.35">
      <c r="A72" s="111" t="s">
        <v>17</v>
      </c>
      <c r="B72" s="75" t="s">
        <v>291</v>
      </c>
      <c r="C72" s="126">
        <f>'SR - ASG int'!C72</f>
        <v>9.6999999999999993</v>
      </c>
      <c r="D72" s="129">
        <f>C72</f>
        <v>9.6999999999999993</v>
      </c>
    </row>
    <row r="73" spans="1:4" outlineLevel="2" x14ac:dyDescent="0.35">
      <c r="A73" s="111" t="s">
        <v>19</v>
      </c>
      <c r="B73" s="76" t="s">
        <v>293</v>
      </c>
      <c r="C73" s="126">
        <f>140*3</f>
        <v>420</v>
      </c>
      <c r="D73" s="129">
        <f>C73*C152</f>
        <v>0.84</v>
      </c>
    </row>
    <row r="74" spans="1:4" outlineLevel="2" x14ac:dyDescent="0.35">
      <c r="A74" s="111" t="s">
        <v>22</v>
      </c>
      <c r="B74" s="75" t="s">
        <v>292</v>
      </c>
      <c r="C74" s="126">
        <v>21</v>
      </c>
      <c r="D74" s="129">
        <f>C74</f>
        <v>21</v>
      </c>
    </row>
    <row r="75" spans="1:4" outlineLevel="2" x14ac:dyDescent="0.35">
      <c r="A75" s="111" t="s">
        <v>24</v>
      </c>
      <c r="B75" s="75" t="s">
        <v>554</v>
      </c>
      <c r="C75" s="128">
        <v>0</v>
      </c>
      <c r="D75" s="129">
        <v>97</v>
      </c>
    </row>
    <row r="76" spans="1:4" outlineLevel="2" x14ac:dyDescent="0.35">
      <c r="A76" s="111" t="s">
        <v>25</v>
      </c>
      <c r="B76" s="75" t="s">
        <v>39</v>
      </c>
      <c r="C76" s="126">
        <v>0</v>
      </c>
      <c r="D76" s="130">
        <f>C76</f>
        <v>0</v>
      </c>
    </row>
    <row r="77" spans="1:4" outlineLevel="1" x14ac:dyDescent="0.35">
      <c r="A77" s="644" t="s">
        <v>59</v>
      </c>
      <c r="B77" s="657"/>
      <c r="C77" s="645"/>
      <c r="D77" s="116">
        <f>SUM(D66,D69,D72:D76)</f>
        <v>504.04</v>
      </c>
    </row>
    <row r="78" spans="1:4" outlineLevel="1" x14ac:dyDescent="0.35">
      <c r="A78" s="646"/>
      <c r="B78" s="647"/>
      <c r="C78" s="647"/>
      <c r="D78" s="648"/>
    </row>
    <row r="79" spans="1:4" outlineLevel="1" x14ac:dyDescent="0.35">
      <c r="A79" s="661" t="s">
        <v>60</v>
      </c>
      <c r="B79" s="662"/>
      <c r="C79" s="110" t="s">
        <v>44</v>
      </c>
      <c r="D79" s="110" t="s">
        <v>35</v>
      </c>
    </row>
    <row r="80" spans="1:4" outlineLevel="1" x14ac:dyDescent="0.35">
      <c r="A80" s="111" t="s">
        <v>61</v>
      </c>
      <c r="B80" s="31" t="s">
        <v>43</v>
      </c>
      <c r="C80" s="34">
        <f>C52</f>
        <v>0.1</v>
      </c>
      <c r="D80" s="104">
        <f>D52</f>
        <v>151.62</v>
      </c>
    </row>
    <row r="81" spans="1:4" outlineLevel="1" x14ac:dyDescent="0.35">
      <c r="A81" s="111" t="s">
        <v>46</v>
      </c>
      <c r="B81" s="31" t="s">
        <v>47</v>
      </c>
      <c r="C81" s="34">
        <f>C63</f>
        <v>0.36799999999999999</v>
      </c>
      <c r="D81" s="104">
        <f>D63</f>
        <v>613.75</v>
      </c>
    </row>
    <row r="82" spans="1:4" outlineLevel="1" x14ac:dyDescent="0.35">
      <c r="A82" s="111" t="s">
        <v>62</v>
      </c>
      <c r="B82" s="31" t="s">
        <v>55</v>
      </c>
      <c r="C82" s="34">
        <f>D77/D39</f>
        <v>0.33239999999999997</v>
      </c>
      <c r="D82" s="104">
        <f>D77</f>
        <v>504.04</v>
      </c>
    </row>
    <row r="83" spans="1:4" x14ac:dyDescent="0.35">
      <c r="A83" s="644" t="s">
        <v>11</v>
      </c>
      <c r="B83" s="657"/>
      <c r="C83" s="645"/>
      <c r="D83" s="116">
        <f>SUM(D80:D82)</f>
        <v>1269.4100000000001</v>
      </c>
    </row>
    <row r="84" spans="1:4" x14ac:dyDescent="0.35">
      <c r="A84" s="646"/>
      <c r="B84" s="647"/>
      <c r="C84" s="647"/>
      <c r="D84" s="648"/>
    </row>
    <row r="85" spans="1:4" x14ac:dyDescent="0.35">
      <c r="A85" s="680" t="s">
        <v>173</v>
      </c>
      <c r="B85" s="681"/>
      <c r="C85" s="681"/>
      <c r="D85" s="682"/>
    </row>
    <row r="86" spans="1:4" outlineLevel="1" x14ac:dyDescent="0.35">
      <c r="A86" s="646"/>
      <c r="B86" s="647"/>
      <c r="C86" s="647"/>
      <c r="D86" s="648"/>
    </row>
    <row r="87" spans="1:4" outlineLevel="1" x14ac:dyDescent="0.35">
      <c r="A87" s="64" t="s">
        <v>174</v>
      </c>
      <c r="B87" s="109" t="s">
        <v>175</v>
      </c>
      <c r="C87" s="110" t="s">
        <v>44</v>
      </c>
      <c r="D87" s="110" t="s">
        <v>35</v>
      </c>
    </row>
    <row r="88" spans="1:4" outlineLevel="2" x14ac:dyDescent="0.35">
      <c r="A88" s="35" t="s">
        <v>36</v>
      </c>
      <c r="B88" s="36" t="s">
        <v>176</v>
      </c>
      <c r="C88" s="35" t="s">
        <v>152</v>
      </c>
      <c r="D88" s="131">
        <f>IF(C99&gt;1,SUM(D89:D92)*2,SUM(D89:D92))</f>
        <v>2136.5500000000002</v>
      </c>
    </row>
    <row r="89" spans="1:4" outlineLevel="3" x14ac:dyDescent="0.35">
      <c r="A89" s="37" t="s">
        <v>177</v>
      </c>
      <c r="B89" s="38" t="s">
        <v>178</v>
      </c>
      <c r="C89" s="35">
        <f>(IF(C12&gt;60,45,IF(C12&gt;48,42,IF(C12&gt;36,39,IF(C12&gt;24,36,IF(C12&gt;12,33,30)))))/30)</f>
        <v>1.1000000000000001</v>
      </c>
      <c r="D89" s="131">
        <f>D39*C89</f>
        <v>1667.79</v>
      </c>
    </row>
    <row r="90" spans="1:4" outlineLevel="3" x14ac:dyDescent="0.35">
      <c r="A90" s="37" t="s">
        <v>179</v>
      </c>
      <c r="B90" s="38" t="s">
        <v>180</v>
      </c>
      <c r="C90" s="29">
        <f>1/12</f>
        <v>8.3299999999999999E-2</v>
      </c>
      <c r="D90" s="131">
        <f>C90*D89</f>
        <v>138.93</v>
      </c>
    </row>
    <row r="91" spans="1:4" outlineLevel="3" x14ac:dyDescent="0.35">
      <c r="A91" s="37" t="s">
        <v>181</v>
      </c>
      <c r="B91" s="38" t="s">
        <v>182</v>
      </c>
      <c r="C91" s="29">
        <f>(1/12)+(1/12/3)</f>
        <v>0.1111</v>
      </c>
      <c r="D91" s="132">
        <f>C91*D89</f>
        <v>185.29</v>
      </c>
    </row>
    <row r="92" spans="1:4" outlineLevel="3" x14ac:dyDescent="0.35">
      <c r="A92" s="37" t="s">
        <v>183</v>
      </c>
      <c r="B92" s="38" t="s">
        <v>184</v>
      </c>
      <c r="C92" s="39">
        <v>0.08</v>
      </c>
      <c r="D92" s="131">
        <f>SUM(D89:D90)*C92</f>
        <v>144.54</v>
      </c>
    </row>
    <row r="93" spans="1:4" outlineLevel="2" x14ac:dyDescent="0.35">
      <c r="A93" s="35" t="s">
        <v>16</v>
      </c>
      <c r="B93" s="36" t="s">
        <v>185</v>
      </c>
      <c r="C93" s="40">
        <v>0.4</v>
      </c>
      <c r="D93" s="131">
        <f>C93*D94</f>
        <v>1069</v>
      </c>
    </row>
    <row r="94" spans="1:4" outlineLevel="3" x14ac:dyDescent="0.35">
      <c r="A94" s="35" t="s">
        <v>186</v>
      </c>
      <c r="B94" s="36" t="s">
        <v>187</v>
      </c>
      <c r="C94" s="40">
        <f>C62</f>
        <v>0.08</v>
      </c>
      <c r="D94" s="131">
        <f>C94*D95</f>
        <v>2672.5</v>
      </c>
    </row>
    <row r="95" spans="1:4" outlineLevel="3" x14ac:dyDescent="0.35">
      <c r="A95" s="35" t="s">
        <v>188</v>
      </c>
      <c r="B95" s="41" t="s">
        <v>116</v>
      </c>
      <c r="C95" s="42" t="s">
        <v>152</v>
      </c>
      <c r="D95" s="132">
        <f>SUM(D96:D98)</f>
        <v>33406.28</v>
      </c>
    </row>
    <row r="96" spans="1:4" outlineLevel="3" x14ac:dyDescent="0.35">
      <c r="A96" s="37" t="s">
        <v>189</v>
      </c>
      <c r="B96" s="38" t="s">
        <v>190</v>
      </c>
      <c r="C96" s="43">
        <f>C12-C98</f>
        <v>19</v>
      </c>
      <c r="D96" s="131">
        <f>D39*C96</f>
        <v>28807.23</v>
      </c>
    </row>
    <row r="97" spans="1:4" outlineLevel="3" x14ac:dyDescent="0.35">
      <c r="A97" s="37" t="s">
        <v>191</v>
      </c>
      <c r="B97" s="38" t="s">
        <v>192</v>
      </c>
      <c r="C97" s="44">
        <f>C12/12</f>
        <v>1.7</v>
      </c>
      <c r="D97" s="131">
        <f>D39*C97</f>
        <v>2577.4899999999998</v>
      </c>
    </row>
    <row r="98" spans="1:4" outlineLevel="3" x14ac:dyDescent="0.35">
      <c r="A98" s="37" t="s">
        <v>193</v>
      </c>
      <c r="B98" s="38" t="s">
        <v>194</v>
      </c>
      <c r="C98" s="42">
        <f>IF(C12&gt;60,5,IF(C12&gt;48,4,IF(C12&gt;36,3,IF(C12&gt;24,2,IF(C12&gt;12,1,0)))))</f>
        <v>1</v>
      </c>
      <c r="D98" s="132">
        <f>D39*C98*1.33333333333333</f>
        <v>2021.56</v>
      </c>
    </row>
    <row r="99" spans="1:4" outlineLevel="1" x14ac:dyDescent="0.35">
      <c r="A99" s="644" t="s">
        <v>11</v>
      </c>
      <c r="B99" s="645"/>
      <c r="C99" s="67">
        <f>'SR - ASG int'!C99</f>
        <v>5.5500000000000001E-2</v>
      </c>
      <c r="D99" s="116">
        <f>IF(C99&gt;1,D88+D93,(D88+D93)*C99)</f>
        <v>177.91</v>
      </c>
    </row>
    <row r="100" spans="1:4" outlineLevel="1" x14ac:dyDescent="0.35">
      <c r="A100" s="658"/>
      <c r="B100" s="659"/>
      <c r="C100" s="659"/>
      <c r="D100" s="660"/>
    </row>
    <row r="101" spans="1:4" outlineLevel="1" x14ac:dyDescent="0.35">
      <c r="A101" s="64" t="s">
        <v>195</v>
      </c>
      <c r="B101" s="109" t="s">
        <v>196</v>
      </c>
      <c r="C101" s="110" t="s">
        <v>44</v>
      </c>
      <c r="D101" s="110" t="s">
        <v>35</v>
      </c>
    </row>
    <row r="102" spans="1:4" outlineLevel="2" x14ac:dyDescent="0.35">
      <c r="A102" s="35" t="s">
        <v>36</v>
      </c>
      <c r="B102" s="41" t="s">
        <v>197</v>
      </c>
      <c r="C102" s="45">
        <f>IF(C111&gt;1,(1/30*7)*2,(1/30*7))</f>
        <v>0.23330000000000001</v>
      </c>
      <c r="D102" s="132">
        <f>C102*SUM(D103:D107)</f>
        <v>681.09</v>
      </c>
    </row>
    <row r="103" spans="1:4" outlineLevel="3" x14ac:dyDescent="0.35">
      <c r="A103" s="37" t="s">
        <v>177</v>
      </c>
      <c r="B103" s="38" t="s">
        <v>198</v>
      </c>
      <c r="C103" s="35">
        <v>1</v>
      </c>
      <c r="D103" s="131">
        <f>D39</f>
        <v>1516.17</v>
      </c>
    </row>
    <row r="104" spans="1:4" outlineLevel="3" x14ac:dyDescent="0.35">
      <c r="A104" s="37" t="s">
        <v>179</v>
      </c>
      <c r="B104" s="38" t="s">
        <v>199</v>
      </c>
      <c r="C104" s="29">
        <f>1/12</f>
        <v>8.3299999999999999E-2</v>
      </c>
      <c r="D104" s="131">
        <f>C104*D103</f>
        <v>126.3</v>
      </c>
    </row>
    <row r="105" spans="1:4" outlineLevel="3" x14ac:dyDescent="0.35">
      <c r="A105" s="37" t="s">
        <v>181</v>
      </c>
      <c r="B105" s="38" t="s">
        <v>200</v>
      </c>
      <c r="C105" s="29">
        <f>(1/12)+(1/12/3)</f>
        <v>0.1111</v>
      </c>
      <c r="D105" s="131">
        <f>C105*D103</f>
        <v>168.45</v>
      </c>
    </row>
    <row r="106" spans="1:4" outlineLevel="3" x14ac:dyDescent="0.35">
      <c r="A106" s="37" t="s">
        <v>183</v>
      </c>
      <c r="B106" s="46" t="s">
        <v>63</v>
      </c>
      <c r="C106" s="47">
        <f>C63</f>
        <v>0.36799999999999999</v>
      </c>
      <c r="D106" s="132">
        <f>C106*(D103+D104)</f>
        <v>604.42999999999995</v>
      </c>
    </row>
    <row r="107" spans="1:4" outlineLevel="3" x14ac:dyDescent="0.35">
      <c r="A107" s="37" t="s">
        <v>201</v>
      </c>
      <c r="B107" s="46" t="s">
        <v>202</v>
      </c>
      <c r="C107" s="42">
        <v>1</v>
      </c>
      <c r="D107" s="132">
        <f>D77</f>
        <v>504.04</v>
      </c>
    </row>
    <row r="108" spans="1:4" outlineLevel="2" x14ac:dyDescent="0.35">
      <c r="A108" s="35" t="s">
        <v>16</v>
      </c>
      <c r="B108" s="36" t="s">
        <v>203</v>
      </c>
      <c r="C108" s="40">
        <v>0.4</v>
      </c>
      <c r="D108" s="131">
        <f>C108*D109</f>
        <v>1069</v>
      </c>
    </row>
    <row r="109" spans="1:4" outlineLevel="2" x14ac:dyDescent="0.35">
      <c r="A109" s="35" t="s">
        <v>186</v>
      </c>
      <c r="B109" s="36" t="s">
        <v>187</v>
      </c>
      <c r="C109" s="40">
        <f>C62</f>
        <v>0.08</v>
      </c>
      <c r="D109" s="131">
        <f>C109*D110</f>
        <v>2672.5</v>
      </c>
    </row>
    <row r="110" spans="1:4" outlineLevel="2" x14ac:dyDescent="0.35">
      <c r="A110" s="35" t="s">
        <v>188</v>
      </c>
      <c r="B110" s="41" t="s">
        <v>116</v>
      </c>
      <c r="C110" s="42" t="s">
        <v>152</v>
      </c>
      <c r="D110" s="132">
        <f>D95</f>
        <v>33406.28</v>
      </c>
    </row>
    <row r="111" spans="1:4" outlineLevel="1" x14ac:dyDescent="0.35">
      <c r="A111" s="644" t="s">
        <v>11</v>
      </c>
      <c r="B111" s="645"/>
      <c r="C111" s="67">
        <f>'SR - ASG int'!C111</f>
        <v>0.94450000000000001</v>
      </c>
      <c r="D111" s="116">
        <f>IF(C111&gt;1,D102+D108,(D102+D108)*C111)</f>
        <v>1652.96</v>
      </c>
    </row>
    <row r="112" spans="1:4" outlineLevel="1" x14ac:dyDescent="0.35">
      <c r="A112" s="658"/>
      <c r="B112" s="659"/>
      <c r="C112" s="659"/>
      <c r="D112" s="660"/>
    </row>
    <row r="113" spans="1:4" outlineLevel="1" x14ac:dyDescent="0.35">
      <c r="A113" s="64" t="s">
        <v>204</v>
      </c>
      <c r="B113" s="109" t="s">
        <v>205</v>
      </c>
      <c r="C113" s="110" t="s">
        <v>44</v>
      </c>
      <c r="D113" s="110" t="s">
        <v>35</v>
      </c>
    </row>
    <row r="114" spans="1:4" outlineLevel="2" x14ac:dyDescent="0.35">
      <c r="A114" s="111" t="s">
        <v>36</v>
      </c>
      <c r="B114" s="31" t="s">
        <v>206</v>
      </c>
      <c r="C114" s="34">
        <f>IF(C12&gt;60,(D39/12*(C12-60))/C12/D39,IF(C12&gt;48,(D39/12*(C12-48))/C12/D39,IF(C12&gt;36,(D39/12*(C12-36))/C12/D39,IF(C12&gt;24,(D39/12*(C12-24))/C12/D39,IF(C12&gt;12,((D39/12*(C12-12))/C12/D39),1/12)))))</f>
        <v>3.3300000000000003E-2</v>
      </c>
      <c r="D114" s="133">
        <f>C114*D39</f>
        <v>50.49</v>
      </c>
    </row>
    <row r="115" spans="1:4" outlineLevel="2" x14ac:dyDescent="0.35">
      <c r="A115" s="111" t="s">
        <v>16</v>
      </c>
      <c r="B115" s="48" t="s">
        <v>207</v>
      </c>
      <c r="C115" s="34">
        <f>C114/3</f>
        <v>1.11E-2</v>
      </c>
      <c r="D115" s="134">
        <f>C115*D39</f>
        <v>16.829999999999998</v>
      </c>
    </row>
    <row r="116" spans="1:4" outlineLevel="1" x14ac:dyDescent="0.35">
      <c r="A116" s="644" t="s">
        <v>11</v>
      </c>
      <c r="B116" s="645"/>
      <c r="C116" s="30">
        <f>C114+C115</f>
        <v>4.4400000000000002E-2</v>
      </c>
      <c r="D116" s="116">
        <f>SUM(D114:D115)</f>
        <v>67.319999999999993</v>
      </c>
    </row>
    <row r="117" spans="1:4" outlineLevel="1" x14ac:dyDescent="0.35">
      <c r="A117" s="658"/>
      <c r="B117" s="659"/>
      <c r="C117" s="659"/>
      <c r="D117" s="660"/>
    </row>
    <row r="118" spans="1:4" outlineLevel="1" x14ac:dyDescent="0.35">
      <c r="A118" s="661" t="s">
        <v>208</v>
      </c>
      <c r="B118" s="662"/>
      <c r="C118" s="110" t="s">
        <v>44</v>
      </c>
      <c r="D118" s="110" t="s">
        <v>35</v>
      </c>
    </row>
    <row r="119" spans="1:4" outlineLevel="1" x14ac:dyDescent="0.35">
      <c r="A119" s="111" t="s">
        <v>174</v>
      </c>
      <c r="B119" s="31" t="s">
        <v>175</v>
      </c>
      <c r="C119" s="34">
        <f>C99</f>
        <v>5.5500000000000001E-2</v>
      </c>
      <c r="D119" s="104">
        <f>D99</f>
        <v>177.91</v>
      </c>
    </row>
    <row r="120" spans="1:4" outlineLevel="1" x14ac:dyDescent="0.35">
      <c r="A120" s="113" t="s">
        <v>195</v>
      </c>
      <c r="B120" s="31" t="s">
        <v>196</v>
      </c>
      <c r="C120" s="49">
        <f>C111</f>
        <v>0.94450000000000001</v>
      </c>
      <c r="D120" s="104">
        <f>D111</f>
        <v>1652.96</v>
      </c>
    </row>
    <row r="121" spans="1:4" outlineLevel="1" x14ac:dyDescent="0.35">
      <c r="A121" s="679" t="s">
        <v>209</v>
      </c>
      <c r="B121" s="679"/>
      <c r="C121" s="679"/>
      <c r="D121" s="135">
        <f>D119+D120</f>
        <v>1830.87</v>
      </c>
    </row>
    <row r="122" spans="1:4" outlineLevel="1" x14ac:dyDescent="0.35">
      <c r="A122" s="675" t="s">
        <v>210</v>
      </c>
      <c r="B122" s="676"/>
      <c r="C122" s="68">
        <f>'SR - ASG int'!C122</f>
        <v>0.63570000000000004</v>
      </c>
      <c r="D122" s="58">
        <f>C122*D121</f>
        <v>1163.8800000000001</v>
      </c>
    </row>
    <row r="123" spans="1:4" outlineLevel="1" x14ac:dyDescent="0.35">
      <c r="A123" s="675" t="s">
        <v>211</v>
      </c>
      <c r="B123" s="676"/>
      <c r="C123" s="68">
        <f>'SR - ASG int'!C123</f>
        <v>1.0999999999999999E-2</v>
      </c>
      <c r="D123" s="58">
        <f>(D50+(D116/2))*-C123</f>
        <v>-1.76</v>
      </c>
    </row>
    <row r="124" spans="1:4" outlineLevel="1" x14ac:dyDescent="0.35">
      <c r="A124" s="677" t="s">
        <v>212</v>
      </c>
      <c r="B124" s="678"/>
      <c r="C124" s="72">
        <f>1/C12</f>
        <v>0.05</v>
      </c>
      <c r="D124" s="59">
        <f>(D122+D123)*C124</f>
        <v>58.11</v>
      </c>
    </row>
    <row r="125" spans="1:4" outlineLevel="1" x14ac:dyDescent="0.35">
      <c r="A125" s="113" t="s">
        <v>204</v>
      </c>
      <c r="B125" s="31" t="s">
        <v>213</v>
      </c>
      <c r="C125" s="49"/>
      <c r="D125" s="124">
        <f>D116</f>
        <v>67.319999999999993</v>
      </c>
    </row>
    <row r="126" spans="1:4" x14ac:dyDescent="0.35">
      <c r="A126" s="644" t="s">
        <v>11</v>
      </c>
      <c r="B126" s="645"/>
      <c r="C126" s="30"/>
      <c r="D126" s="136">
        <f>D124+D125</f>
        <v>125.43</v>
      </c>
    </row>
    <row r="127" spans="1:4" x14ac:dyDescent="0.35">
      <c r="A127" s="646"/>
      <c r="B127" s="647"/>
      <c r="C127" s="647"/>
      <c r="D127" s="648"/>
    </row>
    <row r="128" spans="1:4" x14ac:dyDescent="0.35">
      <c r="A128" s="663" t="s">
        <v>64</v>
      </c>
      <c r="B128" s="664"/>
      <c r="C128" s="664"/>
      <c r="D128" s="665"/>
    </row>
    <row r="129" spans="1:4" outlineLevel="1" x14ac:dyDescent="0.35">
      <c r="A129" s="658"/>
      <c r="B129" s="659"/>
      <c r="C129" s="659"/>
      <c r="D129" s="660"/>
    </row>
    <row r="130" spans="1:4" outlineLevel="1" x14ac:dyDescent="0.35">
      <c r="A130" s="110" t="s">
        <v>65</v>
      </c>
      <c r="B130" s="117" t="s">
        <v>214</v>
      </c>
      <c r="C130" s="30" t="s">
        <v>44</v>
      </c>
      <c r="D130" s="110" t="s">
        <v>35</v>
      </c>
    </row>
    <row r="131" spans="1:4" outlineLevel="2" x14ac:dyDescent="0.35">
      <c r="A131" s="137" t="s">
        <v>36</v>
      </c>
      <c r="B131" s="89" t="s">
        <v>66</v>
      </c>
      <c r="C131" s="50">
        <f>IF(C12&gt;60,5/C12,IF(C12&gt;48,4/C12,IF(C12&gt;36,3/C12,IF(C12&gt;24,2/C12,IF(C12&gt;12,1/C12,0)))))</f>
        <v>0.05</v>
      </c>
      <c r="D131" s="133">
        <f>SUM(D132:D136)</f>
        <v>98</v>
      </c>
    </row>
    <row r="132" spans="1:4" outlineLevel="3" x14ac:dyDescent="0.35">
      <c r="A132" s="138" t="s">
        <v>215</v>
      </c>
      <c r="B132" s="90" t="s">
        <v>216</v>
      </c>
      <c r="C132" s="139">
        <f>D39</f>
        <v>1516.17</v>
      </c>
      <c r="D132" s="140">
        <f>$C$131*(D39)-($C$131*(D39)*C137/3)</f>
        <v>75.81</v>
      </c>
    </row>
    <row r="133" spans="1:4" outlineLevel="3" x14ac:dyDescent="0.35">
      <c r="A133" s="138" t="s">
        <v>217</v>
      </c>
      <c r="B133" s="90" t="s">
        <v>218</v>
      </c>
      <c r="C133" s="139">
        <f>(D50)</f>
        <v>126.3</v>
      </c>
      <c r="D133" s="140">
        <f>$C$131*C133-($C$131*C133*C137/3)</f>
        <v>6.32</v>
      </c>
    </row>
    <row r="134" spans="1:4" outlineLevel="3" x14ac:dyDescent="0.35">
      <c r="A134" s="138" t="s">
        <v>219</v>
      </c>
      <c r="B134" s="90" t="s">
        <v>220</v>
      </c>
      <c r="C134" s="141">
        <f>(D39/12)+(D51*IF(C12&gt;60,((C12-60)*(1/60))+1,IF(C12&gt;48,((C12-48)*(1/48))+1,IF(C12&gt;36,((C12-36)*(1/36))+1,IF(C12&gt;24,((C12-24)*(1/24))+1,IF(C12&gt;12,((C12-12)*(1/12))+1,1))))))</f>
        <v>168.55</v>
      </c>
      <c r="D134" s="140">
        <f>$C$131*C134-($C$131*C134*C137/3)</f>
        <v>8.43</v>
      </c>
    </row>
    <row r="135" spans="1:4" outlineLevel="3" x14ac:dyDescent="0.35">
      <c r="A135" s="138" t="s">
        <v>221</v>
      </c>
      <c r="B135" s="90" t="s">
        <v>222</v>
      </c>
      <c r="C135" s="91">
        <f>C63</f>
        <v>0.36799999999999999</v>
      </c>
      <c r="D135" s="140">
        <f>SUM(D132:D134)*C131</f>
        <v>4.53</v>
      </c>
    </row>
    <row r="136" spans="1:4" outlineLevel="3" x14ac:dyDescent="0.35">
      <c r="A136" s="138" t="s">
        <v>223</v>
      </c>
      <c r="B136" s="90" t="s">
        <v>224</v>
      </c>
      <c r="C136" s="141">
        <f>D124</f>
        <v>58.11</v>
      </c>
      <c r="D136" s="140">
        <f>C136*C131</f>
        <v>2.91</v>
      </c>
    </row>
    <row r="137" spans="1:4" outlineLevel="2" x14ac:dyDescent="0.35">
      <c r="A137" s="111" t="s">
        <v>16</v>
      </c>
      <c r="B137" s="31" t="s">
        <v>225</v>
      </c>
      <c r="C137" s="92">
        <v>0</v>
      </c>
      <c r="D137" s="124">
        <f>$C$131*(D39)*(C137/3)</f>
        <v>0</v>
      </c>
    </row>
    <row r="138" spans="1:4" outlineLevel="1" x14ac:dyDescent="0.35">
      <c r="A138" s="644" t="s">
        <v>226</v>
      </c>
      <c r="B138" s="645"/>
      <c r="C138" s="30">
        <f>C131+(D137/D39)</f>
        <v>0.05</v>
      </c>
      <c r="D138" s="116">
        <f>SUM(D131:D137)</f>
        <v>196</v>
      </c>
    </row>
    <row r="139" spans="1:4" outlineLevel="1" x14ac:dyDescent="0.35">
      <c r="A139" s="658"/>
      <c r="B139" s="659"/>
      <c r="C139" s="659"/>
      <c r="D139" s="660"/>
    </row>
    <row r="140" spans="1:4" outlineLevel="2" x14ac:dyDescent="0.35">
      <c r="A140" s="668" t="s">
        <v>227</v>
      </c>
      <c r="B140" s="142" t="s">
        <v>190</v>
      </c>
      <c r="C140" s="93">
        <v>220</v>
      </c>
      <c r="D140" s="143">
        <f>D39</f>
        <v>1516.17</v>
      </c>
    </row>
    <row r="141" spans="1:4" outlineLevel="2" x14ac:dyDescent="0.35">
      <c r="A141" s="669"/>
      <c r="B141" s="142" t="s">
        <v>228</v>
      </c>
      <c r="C141" s="50">
        <f>(1+(1/3)+1)/12</f>
        <v>0.19439999999999999</v>
      </c>
      <c r="D141" s="144">
        <f>D140*C141</f>
        <v>294.74</v>
      </c>
    </row>
    <row r="142" spans="1:4" outlineLevel="2" x14ac:dyDescent="0.35">
      <c r="A142" s="669"/>
      <c r="B142" s="142" t="s">
        <v>229</v>
      </c>
      <c r="C142" s="50">
        <f>C63</f>
        <v>0.36799999999999999</v>
      </c>
      <c r="D142" s="144">
        <f>(D140+D141)*C142</f>
        <v>666.41</v>
      </c>
    </row>
    <row r="143" spans="1:4" outlineLevel="2" x14ac:dyDescent="0.35">
      <c r="A143" s="669"/>
      <c r="B143" s="142" t="s">
        <v>230</v>
      </c>
      <c r="C143" s="50">
        <f>D143/D140</f>
        <v>0.33239999999999997</v>
      </c>
      <c r="D143" s="144">
        <f>D77</f>
        <v>504.04</v>
      </c>
    </row>
    <row r="144" spans="1:4" outlineLevel="2" x14ac:dyDescent="0.35">
      <c r="A144" s="670"/>
      <c r="B144" s="145" t="s">
        <v>231</v>
      </c>
      <c r="C144" s="50">
        <f>D144/D140</f>
        <v>3.8300000000000001E-2</v>
      </c>
      <c r="D144" s="144">
        <f>D124</f>
        <v>58.11</v>
      </c>
    </row>
    <row r="145" spans="1:4" outlineLevel="2" x14ac:dyDescent="0.35">
      <c r="A145" s="671" t="s">
        <v>232</v>
      </c>
      <c r="B145" s="672"/>
      <c r="C145" s="94">
        <f>D145/D140</f>
        <v>2.0047000000000001</v>
      </c>
      <c r="D145" s="146">
        <f>SUM(D140:D144)</f>
        <v>3039.47</v>
      </c>
    </row>
    <row r="146" spans="1:4" outlineLevel="2" x14ac:dyDescent="0.35">
      <c r="A146" s="673"/>
      <c r="B146" s="673"/>
      <c r="C146" s="673"/>
      <c r="D146" s="674"/>
    </row>
    <row r="147" spans="1:4" outlineLevel="1" x14ac:dyDescent="0.35">
      <c r="A147" s="110" t="s">
        <v>233</v>
      </c>
      <c r="B147" s="117" t="s">
        <v>234</v>
      </c>
      <c r="C147" s="30" t="s">
        <v>44</v>
      </c>
      <c r="D147" s="110" t="s">
        <v>35</v>
      </c>
    </row>
    <row r="148" spans="1:4" outlineLevel="2" x14ac:dyDescent="0.35">
      <c r="A148" s="111" t="s">
        <v>16</v>
      </c>
      <c r="B148" s="31" t="s">
        <v>118</v>
      </c>
      <c r="C148" s="77">
        <f>5/252</f>
        <v>1.9800000000000002E-2</v>
      </c>
      <c r="D148" s="133">
        <f>C148*$D$145</f>
        <v>60.18</v>
      </c>
    </row>
    <row r="149" spans="1:4" outlineLevel="2" x14ac:dyDescent="0.35">
      <c r="A149" s="111" t="s">
        <v>17</v>
      </c>
      <c r="B149" s="31" t="s">
        <v>119</v>
      </c>
      <c r="C149" s="77">
        <f>1.383/252</f>
        <v>5.4999999999999997E-3</v>
      </c>
      <c r="D149" s="133">
        <f>C149*$D$145</f>
        <v>16.72</v>
      </c>
    </row>
    <row r="150" spans="1:4" outlineLevel="2" x14ac:dyDescent="0.35">
      <c r="A150" s="111" t="s">
        <v>19</v>
      </c>
      <c r="B150" s="31" t="s">
        <v>117</v>
      </c>
      <c r="C150" s="77">
        <f>1.3892/252</f>
        <v>5.4999999999999997E-3</v>
      </c>
      <c r="D150" s="133">
        <f t="shared" ref="D150:D153" si="1">C150*$D$145</f>
        <v>16.72</v>
      </c>
    </row>
    <row r="151" spans="1:4" outlineLevel="2" x14ac:dyDescent="0.35">
      <c r="A151" s="111" t="s">
        <v>22</v>
      </c>
      <c r="B151" s="31" t="s">
        <v>67</v>
      </c>
      <c r="C151" s="77">
        <f>0.65/252</f>
        <v>2.5999999999999999E-3</v>
      </c>
      <c r="D151" s="133">
        <f t="shared" si="1"/>
        <v>7.9</v>
      </c>
    </row>
    <row r="152" spans="1:4" outlineLevel="2" x14ac:dyDescent="0.35">
      <c r="A152" s="111" t="s">
        <v>24</v>
      </c>
      <c r="B152" s="31" t="s">
        <v>68</v>
      </c>
      <c r="C152" s="77">
        <f>0.5052/252</f>
        <v>2E-3</v>
      </c>
      <c r="D152" s="133">
        <f t="shared" si="1"/>
        <v>6.08</v>
      </c>
    </row>
    <row r="153" spans="1:4" outlineLevel="2" x14ac:dyDescent="0.35">
      <c r="A153" s="111" t="s">
        <v>36</v>
      </c>
      <c r="B153" s="61" t="s">
        <v>235</v>
      </c>
      <c r="C153" s="69">
        <f>0.2/252</f>
        <v>8.0000000000000004E-4</v>
      </c>
      <c r="D153" s="133">
        <f t="shared" si="1"/>
        <v>2.4300000000000002</v>
      </c>
    </row>
    <row r="154" spans="1:4" outlineLevel="1" x14ac:dyDescent="0.35">
      <c r="A154" s="644" t="s">
        <v>226</v>
      </c>
      <c r="B154" s="645"/>
      <c r="C154" s="30">
        <f>SUM(C148:C153)</f>
        <v>3.6200000000000003E-2</v>
      </c>
      <c r="D154" s="116">
        <f>SUM(D148:D153)</f>
        <v>110.03</v>
      </c>
    </row>
    <row r="155" spans="1:4" outlineLevel="1" x14ac:dyDescent="0.35">
      <c r="A155" s="658"/>
      <c r="B155" s="659"/>
      <c r="C155" s="659"/>
      <c r="D155" s="660"/>
    </row>
    <row r="156" spans="1:4" outlineLevel="1" x14ac:dyDescent="0.35">
      <c r="A156" s="661" t="s">
        <v>236</v>
      </c>
      <c r="B156" s="666"/>
      <c r="C156" s="30" t="s">
        <v>237</v>
      </c>
      <c r="D156" s="110" t="s">
        <v>35</v>
      </c>
    </row>
    <row r="157" spans="1:4" outlineLevel="2" x14ac:dyDescent="0.4">
      <c r="A157" s="667" t="s">
        <v>238</v>
      </c>
      <c r="B157" s="142" t="s">
        <v>239</v>
      </c>
      <c r="C157" s="95">
        <f>C153</f>
        <v>8.0000000000000004E-4</v>
      </c>
      <c r="D157" s="147">
        <f>C157*-D140</f>
        <v>-1.21</v>
      </c>
    </row>
    <row r="158" spans="1:4" outlineLevel="2" x14ac:dyDescent="0.4">
      <c r="A158" s="667"/>
      <c r="B158" s="148" t="s">
        <v>240</v>
      </c>
      <c r="C158" s="96">
        <v>0</v>
      </c>
      <c r="D158" s="149">
        <f>C158*-(D140/220/24*5)</f>
        <v>0</v>
      </c>
    </row>
    <row r="159" spans="1:4" outlineLevel="2" x14ac:dyDescent="0.4">
      <c r="A159" s="667"/>
      <c r="B159" s="148" t="s">
        <v>241</v>
      </c>
      <c r="C159" s="96">
        <v>0</v>
      </c>
      <c r="D159" s="149">
        <f>C159*-D141</f>
        <v>0</v>
      </c>
    </row>
    <row r="160" spans="1:4" outlineLevel="2" x14ac:dyDescent="0.4">
      <c r="A160" s="667"/>
      <c r="B160" s="142" t="s">
        <v>242</v>
      </c>
      <c r="C160" s="95">
        <f>C154</f>
        <v>3.6200000000000003E-2</v>
      </c>
      <c r="D160" s="147">
        <f>C160*-D66</f>
        <v>-3.1</v>
      </c>
    </row>
    <row r="161" spans="1:4" outlineLevel="2" x14ac:dyDescent="0.4">
      <c r="A161" s="667"/>
      <c r="B161" s="142" t="s">
        <v>243</v>
      </c>
      <c r="C161" s="95">
        <f>C154</f>
        <v>3.6200000000000003E-2</v>
      </c>
      <c r="D161" s="147">
        <f>C161*-D69</f>
        <v>-10.5</v>
      </c>
    </row>
    <row r="162" spans="1:4" outlineLevel="2" x14ac:dyDescent="0.4">
      <c r="A162" s="667"/>
      <c r="B162" s="145" t="s">
        <v>244</v>
      </c>
      <c r="C162" s="95">
        <f>C153</f>
        <v>8.0000000000000004E-4</v>
      </c>
      <c r="D162" s="147">
        <f>C162*-D74</f>
        <v>-0.02</v>
      </c>
    </row>
    <row r="163" spans="1:4" outlineLevel="2" x14ac:dyDescent="0.35">
      <c r="A163" s="667"/>
      <c r="B163" s="145" t="s">
        <v>245</v>
      </c>
      <c r="C163" s="97">
        <f>C152</f>
        <v>2E-3</v>
      </c>
      <c r="D163" s="133">
        <f>C163*-SUM(D55:D61)</f>
        <v>-0.96</v>
      </c>
    </row>
    <row r="164" spans="1:4" outlineLevel="2" x14ac:dyDescent="0.4">
      <c r="A164" s="667"/>
      <c r="B164" s="142" t="s">
        <v>246</v>
      </c>
      <c r="C164" s="95">
        <f>C153</f>
        <v>8.0000000000000004E-4</v>
      </c>
      <c r="D164" s="147">
        <f>C164*-D142</f>
        <v>-0.53</v>
      </c>
    </row>
    <row r="165" spans="1:4" outlineLevel="1" x14ac:dyDescent="0.35">
      <c r="A165" s="644" t="s">
        <v>247</v>
      </c>
      <c r="B165" s="645"/>
      <c r="C165" s="30">
        <f>D165/D140</f>
        <v>-1.0800000000000001E-2</v>
      </c>
      <c r="D165" s="116">
        <f>SUM(D157:D164)</f>
        <v>-16.32</v>
      </c>
    </row>
    <row r="166" spans="1:4" outlineLevel="1" x14ac:dyDescent="0.35">
      <c r="A166" s="658"/>
      <c r="B166" s="659"/>
      <c r="C166" s="659"/>
      <c r="D166" s="660"/>
    </row>
    <row r="167" spans="1:4" outlineLevel="1" x14ac:dyDescent="0.35">
      <c r="A167" s="644" t="s">
        <v>248</v>
      </c>
      <c r="B167" s="645"/>
      <c r="C167" s="30">
        <f>D167/D140</f>
        <v>6.1800000000000001E-2</v>
      </c>
      <c r="D167" s="116">
        <f>D154+D165</f>
        <v>93.71</v>
      </c>
    </row>
    <row r="168" spans="1:4" outlineLevel="1" x14ac:dyDescent="0.35">
      <c r="A168" s="658"/>
      <c r="B168" s="659"/>
      <c r="C168" s="659"/>
      <c r="D168" s="660"/>
    </row>
    <row r="169" spans="1:4" outlineLevel="1" x14ac:dyDescent="0.35">
      <c r="A169" s="661" t="s">
        <v>249</v>
      </c>
      <c r="B169" s="662"/>
      <c r="C169" s="110" t="s">
        <v>44</v>
      </c>
      <c r="D169" s="110" t="s">
        <v>35</v>
      </c>
    </row>
    <row r="170" spans="1:4" outlineLevel="1" x14ac:dyDescent="0.35">
      <c r="A170" s="111" t="s">
        <v>65</v>
      </c>
      <c r="B170" s="31" t="s">
        <v>214</v>
      </c>
      <c r="C170" s="34"/>
      <c r="D170" s="150">
        <f>D138</f>
        <v>196</v>
      </c>
    </row>
    <row r="171" spans="1:4" outlineLevel="1" x14ac:dyDescent="0.35">
      <c r="A171" s="111" t="s">
        <v>233</v>
      </c>
      <c r="B171" s="31" t="s">
        <v>234</v>
      </c>
      <c r="C171" s="34"/>
      <c r="D171" s="150">
        <f>D167</f>
        <v>93.71</v>
      </c>
    </row>
    <row r="172" spans="1:4" x14ac:dyDescent="0.35">
      <c r="A172" s="644" t="s">
        <v>11</v>
      </c>
      <c r="B172" s="657"/>
      <c r="C172" s="645"/>
      <c r="D172" s="119">
        <f>SUM(D170:D171)</f>
        <v>289.70999999999998</v>
      </c>
    </row>
    <row r="173" spans="1:4" x14ac:dyDescent="0.35">
      <c r="A173" s="658"/>
      <c r="B173" s="659"/>
      <c r="C173" s="659"/>
      <c r="D173" s="660"/>
    </row>
    <row r="174" spans="1:4" x14ac:dyDescent="0.35">
      <c r="A174" s="663" t="s">
        <v>69</v>
      </c>
      <c r="B174" s="664"/>
      <c r="C174" s="664"/>
      <c r="D174" s="665"/>
    </row>
    <row r="175" spans="1:4" outlineLevel="1" x14ac:dyDescent="0.35">
      <c r="A175" s="658"/>
      <c r="B175" s="659"/>
      <c r="C175" s="659"/>
      <c r="D175" s="660"/>
    </row>
    <row r="176" spans="1:4" outlineLevel="1" x14ac:dyDescent="0.35">
      <c r="A176" s="64">
        <v>5</v>
      </c>
      <c r="B176" s="644" t="s">
        <v>250</v>
      </c>
      <c r="C176" s="645"/>
      <c r="D176" s="110" t="s">
        <v>35</v>
      </c>
    </row>
    <row r="177" spans="1:4" outlineLevel="1" x14ac:dyDescent="0.35">
      <c r="A177" s="111" t="s">
        <v>36</v>
      </c>
      <c r="B177" s="655" t="s">
        <v>343</v>
      </c>
      <c r="C177" s="656"/>
      <c r="D177" s="133">
        <f>INSUMOS!H12</f>
        <v>25.07</v>
      </c>
    </row>
    <row r="178" spans="1:4" outlineLevel="1" x14ac:dyDescent="0.35">
      <c r="A178" s="111" t="s">
        <v>16</v>
      </c>
      <c r="B178" s="655" t="s">
        <v>369</v>
      </c>
      <c r="C178" s="656"/>
      <c r="D178" s="151">
        <f>INSUMOS!H33</f>
        <v>23.01</v>
      </c>
    </row>
    <row r="179" spans="1:4" outlineLevel="1" x14ac:dyDescent="0.35">
      <c r="A179" s="111" t="s">
        <v>17</v>
      </c>
      <c r="B179" s="640" t="s">
        <v>326</v>
      </c>
      <c r="C179" s="642"/>
      <c r="D179" s="151">
        <f>MATERIAIS!J125</f>
        <v>440.15</v>
      </c>
    </row>
    <row r="180" spans="1:4" outlineLevel="1" x14ac:dyDescent="0.35">
      <c r="A180" s="111" t="s">
        <v>19</v>
      </c>
      <c r="B180" s="640" t="s">
        <v>325</v>
      </c>
      <c r="C180" s="642"/>
      <c r="D180" s="151">
        <f>EQUIPAMENTOS!K134</f>
        <v>17.73</v>
      </c>
    </row>
    <row r="181" spans="1:4" outlineLevel="1" x14ac:dyDescent="0.35">
      <c r="A181" s="111" t="s">
        <v>22</v>
      </c>
      <c r="B181" s="705" t="s">
        <v>39</v>
      </c>
      <c r="C181" s="706"/>
      <c r="D181" s="130">
        <v>0</v>
      </c>
    </row>
    <row r="182" spans="1:4" outlineLevel="1" x14ac:dyDescent="0.35">
      <c r="A182" s="111" t="s">
        <v>24</v>
      </c>
      <c r="B182" s="705" t="s">
        <v>39</v>
      </c>
      <c r="C182" s="706"/>
      <c r="D182" s="130">
        <v>0</v>
      </c>
    </row>
    <row r="183" spans="1:4" x14ac:dyDescent="0.35">
      <c r="A183" s="644" t="s">
        <v>11</v>
      </c>
      <c r="B183" s="657"/>
      <c r="C183" s="645"/>
      <c r="D183" s="116">
        <f>SUM(D177:D181)</f>
        <v>505.96</v>
      </c>
    </row>
    <row r="184" spans="1:4" x14ac:dyDescent="0.35">
      <c r="A184" s="646"/>
      <c r="B184" s="647"/>
      <c r="C184" s="647"/>
      <c r="D184" s="648"/>
    </row>
    <row r="185" spans="1:4" x14ac:dyDescent="0.35">
      <c r="A185" s="649" t="s">
        <v>70</v>
      </c>
      <c r="B185" s="649"/>
      <c r="C185" s="649"/>
      <c r="D185" s="152">
        <f>D39+D83+D126+D172+D183</f>
        <v>3706.68</v>
      </c>
    </row>
    <row r="186" spans="1:4" x14ac:dyDescent="0.35">
      <c r="A186" s="650"/>
      <c r="B186" s="650"/>
      <c r="C186" s="650"/>
      <c r="D186" s="650"/>
    </row>
    <row r="187" spans="1:4" x14ac:dyDescent="0.35">
      <c r="A187" s="651" t="s">
        <v>71</v>
      </c>
      <c r="B187" s="651"/>
      <c r="C187" s="651"/>
      <c r="D187" s="651"/>
    </row>
    <row r="188" spans="1:4" outlineLevel="1" x14ac:dyDescent="0.35">
      <c r="A188" s="652"/>
      <c r="B188" s="653"/>
      <c r="C188" s="653"/>
      <c r="D188" s="654"/>
    </row>
    <row r="189" spans="1:4" outlineLevel="1" x14ac:dyDescent="0.35">
      <c r="A189" s="64">
        <v>6</v>
      </c>
      <c r="B189" s="117" t="s">
        <v>72</v>
      </c>
      <c r="C189" s="110" t="s">
        <v>44</v>
      </c>
      <c r="D189" s="110" t="s">
        <v>35</v>
      </c>
    </row>
    <row r="190" spans="1:4" outlineLevel="1" x14ac:dyDescent="0.35">
      <c r="A190" s="111" t="s">
        <v>36</v>
      </c>
      <c r="B190" s="31" t="s">
        <v>73</v>
      </c>
      <c r="C190" s="70">
        <f>'SR - ASG int'!C189</f>
        <v>2.6499999999999999E-2</v>
      </c>
      <c r="D190" s="105">
        <f>C190*D185</f>
        <v>98.23</v>
      </c>
    </row>
    <row r="191" spans="1:4" outlineLevel="1" x14ac:dyDescent="0.35">
      <c r="A191" s="638" t="s">
        <v>1</v>
      </c>
      <c r="B191" s="639"/>
      <c r="C191" s="643"/>
      <c r="D191" s="105">
        <f>D185+D190</f>
        <v>3804.91</v>
      </c>
    </row>
    <row r="192" spans="1:4" outlineLevel="1" x14ac:dyDescent="0.35">
      <c r="A192" s="111" t="s">
        <v>16</v>
      </c>
      <c r="B192" s="31" t="s">
        <v>74</v>
      </c>
      <c r="C192" s="70">
        <f>'SR - ASG int'!C191</f>
        <v>0.1087</v>
      </c>
      <c r="D192" s="105">
        <f>C192*D191</f>
        <v>413.59</v>
      </c>
    </row>
    <row r="193" spans="1:4" outlineLevel="1" x14ac:dyDescent="0.35">
      <c r="A193" s="638" t="s">
        <v>1</v>
      </c>
      <c r="B193" s="639"/>
      <c r="C193" s="639"/>
      <c r="D193" s="105">
        <f>D192+D191</f>
        <v>4218.5</v>
      </c>
    </row>
    <row r="194" spans="1:4" outlineLevel="1" x14ac:dyDescent="0.35">
      <c r="A194" s="111" t="s">
        <v>17</v>
      </c>
      <c r="B194" s="640" t="s">
        <v>75</v>
      </c>
      <c r="C194" s="641"/>
      <c r="D194" s="642"/>
    </row>
    <row r="195" spans="1:4" outlineLevel="1" x14ac:dyDescent="0.35">
      <c r="A195" s="153"/>
      <c r="B195" s="63" t="s">
        <v>76</v>
      </c>
      <c r="C195" s="70">
        <v>6.4999999999999997E-3</v>
      </c>
      <c r="D195" s="105">
        <f>(D193/(1-C198)*C195)</f>
        <v>29.37</v>
      </c>
    </row>
    <row r="196" spans="1:4" outlineLevel="1" x14ac:dyDescent="0.35">
      <c r="A196" s="153"/>
      <c r="B196" s="63" t="s">
        <v>77</v>
      </c>
      <c r="C196" s="70">
        <v>0.03</v>
      </c>
      <c r="D196" s="105">
        <f>(D193/(1-C198)*C196)</f>
        <v>135.57</v>
      </c>
    </row>
    <row r="197" spans="1:4" outlineLevel="1" x14ac:dyDescent="0.35">
      <c r="A197" s="153"/>
      <c r="B197" s="63" t="s">
        <v>297</v>
      </c>
      <c r="C197" s="51">
        <v>0.03</v>
      </c>
      <c r="D197" s="105">
        <f>(D193/(1-C198)*C197)</f>
        <v>135.57</v>
      </c>
    </row>
    <row r="198" spans="1:4" outlineLevel="1" x14ac:dyDescent="0.35">
      <c r="A198" s="638" t="s">
        <v>78</v>
      </c>
      <c r="B198" s="643"/>
      <c r="C198" s="52">
        <f>SUM(C195:C197)</f>
        <v>6.6500000000000004E-2</v>
      </c>
      <c r="D198" s="105">
        <f>SUM(D195:D197)</f>
        <v>300.51</v>
      </c>
    </row>
    <row r="199" spans="1:4" x14ac:dyDescent="0.35">
      <c r="A199" s="644" t="s">
        <v>11</v>
      </c>
      <c r="B199" s="645"/>
      <c r="C199" s="53">
        <f>(1+C190)*(1+C192)*(1/(1-C198))-1</f>
        <v>0.21920000000000001</v>
      </c>
      <c r="D199" s="108">
        <f>SUM(D198+D190+D192)</f>
        <v>812.33</v>
      </c>
    </row>
    <row r="200" spans="1:4" x14ac:dyDescent="0.35">
      <c r="A200" s="646"/>
      <c r="B200" s="647"/>
      <c r="C200" s="647"/>
      <c r="D200" s="648"/>
    </row>
    <row r="201" spans="1:4" x14ac:dyDescent="0.35">
      <c r="A201" s="634" t="s">
        <v>79</v>
      </c>
      <c r="B201" s="635"/>
      <c r="C201" s="636"/>
      <c r="D201" s="54" t="s">
        <v>35</v>
      </c>
    </row>
    <row r="202" spans="1:4" x14ac:dyDescent="0.35">
      <c r="A202" s="632" t="s">
        <v>80</v>
      </c>
      <c r="B202" s="637"/>
      <c r="C202" s="637"/>
      <c r="D202" s="633"/>
    </row>
    <row r="203" spans="1:4" x14ac:dyDescent="0.35">
      <c r="A203" s="65" t="s">
        <v>36</v>
      </c>
      <c r="B203" s="632" t="s">
        <v>81</v>
      </c>
      <c r="C203" s="633"/>
      <c r="D203" s="104">
        <f>D39</f>
        <v>1516.17</v>
      </c>
    </row>
    <row r="204" spans="1:4" x14ac:dyDescent="0.35">
      <c r="A204" s="65" t="s">
        <v>16</v>
      </c>
      <c r="B204" s="632" t="s">
        <v>82</v>
      </c>
      <c r="C204" s="633"/>
      <c r="D204" s="104">
        <f>D83</f>
        <v>1269.4100000000001</v>
      </c>
    </row>
    <row r="205" spans="1:4" x14ac:dyDescent="0.35">
      <c r="A205" s="65" t="s">
        <v>17</v>
      </c>
      <c r="B205" s="632" t="s">
        <v>83</v>
      </c>
      <c r="C205" s="633"/>
      <c r="D205" s="104">
        <f>D126</f>
        <v>125.43</v>
      </c>
    </row>
    <row r="206" spans="1:4" x14ac:dyDescent="0.35">
      <c r="A206" s="65" t="s">
        <v>19</v>
      </c>
      <c r="B206" s="632" t="s">
        <v>84</v>
      </c>
      <c r="C206" s="633"/>
      <c r="D206" s="104">
        <f>D172</f>
        <v>289.70999999999998</v>
      </c>
    </row>
    <row r="207" spans="1:4" x14ac:dyDescent="0.35">
      <c r="A207" s="65" t="s">
        <v>22</v>
      </c>
      <c r="B207" s="632" t="s">
        <v>85</v>
      </c>
      <c r="C207" s="633"/>
      <c r="D207" s="104">
        <f>D183</f>
        <v>505.96</v>
      </c>
    </row>
    <row r="208" spans="1:4" x14ac:dyDescent="0.4">
      <c r="A208" s="629" t="s">
        <v>86</v>
      </c>
      <c r="B208" s="630"/>
      <c r="C208" s="631"/>
      <c r="D208" s="104">
        <f>SUM(D203:D207)</f>
        <v>3706.68</v>
      </c>
    </row>
    <row r="209" spans="1:4" x14ac:dyDescent="0.35">
      <c r="A209" s="65" t="s">
        <v>87</v>
      </c>
      <c r="B209" s="632" t="s">
        <v>88</v>
      </c>
      <c r="C209" s="633"/>
      <c r="D209" s="104">
        <f>D199</f>
        <v>812.33</v>
      </c>
    </row>
    <row r="210" spans="1:4" x14ac:dyDescent="0.35">
      <c r="A210" s="634" t="s">
        <v>89</v>
      </c>
      <c r="B210" s="635"/>
      <c r="C210" s="636"/>
      <c r="D210" s="154">
        <f xml:space="preserve"> D208+D209</f>
        <v>4519.01</v>
      </c>
    </row>
    <row r="211" spans="1:4" x14ac:dyDescent="0.4">
      <c r="A211" s="24"/>
      <c r="B211" s="24"/>
      <c r="C211" s="24"/>
      <c r="D211" s="24"/>
    </row>
    <row r="212" spans="1:4" thickBot="1" x14ac:dyDescent="0.4">
      <c r="A212" s="17"/>
      <c r="B212" s="17"/>
      <c r="C212" s="17"/>
      <c r="D212" s="17"/>
    </row>
    <row r="213" spans="1:4" x14ac:dyDescent="0.35">
      <c r="A213" s="702" t="s">
        <v>274</v>
      </c>
      <c r="B213" s="703"/>
      <c r="C213" s="703"/>
      <c r="D213" s="704"/>
    </row>
    <row r="214" spans="1:4" ht="30" x14ac:dyDescent="0.35">
      <c r="A214" s="170" t="s">
        <v>275</v>
      </c>
      <c r="B214" s="171" t="s">
        <v>278</v>
      </c>
      <c r="C214" s="172" t="s">
        <v>276</v>
      </c>
      <c r="D214" s="173" t="s">
        <v>277</v>
      </c>
    </row>
    <row r="215" spans="1:4" ht="15.5" thickBot="1" x14ac:dyDescent="0.4">
      <c r="A215" s="174">
        <v>3</v>
      </c>
      <c r="B215" s="178">
        <f>1/(C11/A215)</f>
        <v>3.5049185690999999E-3</v>
      </c>
      <c r="C215" s="175">
        <f>D210</f>
        <v>4519.01</v>
      </c>
      <c r="D215" s="181">
        <f>C215*B215</f>
        <v>15.838762063000001</v>
      </c>
    </row>
  </sheetData>
  <mergeCells count="108">
    <mergeCell ref="B206:C206"/>
    <mergeCell ref="B207:C207"/>
    <mergeCell ref="A208:C208"/>
    <mergeCell ref="B209:C209"/>
    <mergeCell ref="A210:C210"/>
    <mergeCell ref="A213:D213"/>
    <mergeCell ref="A200:D200"/>
    <mergeCell ref="A201:C201"/>
    <mergeCell ref="A202:D202"/>
    <mergeCell ref="B203:C203"/>
    <mergeCell ref="B204:C204"/>
    <mergeCell ref="B205:C205"/>
    <mergeCell ref="A188:D188"/>
    <mergeCell ref="A191:C191"/>
    <mergeCell ref="A193:C193"/>
    <mergeCell ref="B194:D194"/>
    <mergeCell ref="A198:B198"/>
    <mergeCell ref="A199:B199"/>
    <mergeCell ref="B182:C182"/>
    <mergeCell ref="A183:C183"/>
    <mergeCell ref="A184:D184"/>
    <mergeCell ref="A185:C185"/>
    <mergeCell ref="A186:D186"/>
    <mergeCell ref="A187:D187"/>
    <mergeCell ref="B176:C176"/>
    <mergeCell ref="B177:C177"/>
    <mergeCell ref="B178:C178"/>
    <mergeCell ref="B179:C179"/>
    <mergeCell ref="B180:C180"/>
    <mergeCell ref="B181:C181"/>
    <mergeCell ref="A168:D168"/>
    <mergeCell ref="A169:B169"/>
    <mergeCell ref="A172:C172"/>
    <mergeCell ref="A173:D173"/>
    <mergeCell ref="A174:D174"/>
    <mergeCell ref="A175:D175"/>
    <mergeCell ref="A155:D155"/>
    <mergeCell ref="A156:B156"/>
    <mergeCell ref="A157:A164"/>
    <mergeCell ref="A165:B165"/>
    <mergeCell ref="A166:D166"/>
    <mergeCell ref="A167:B167"/>
    <mergeCell ref="A138:B138"/>
    <mergeCell ref="A139:D139"/>
    <mergeCell ref="A140:A144"/>
    <mergeCell ref="A145:B145"/>
    <mergeCell ref="A146:D146"/>
    <mergeCell ref="A154:B154"/>
    <mergeCell ref="A123:B123"/>
    <mergeCell ref="A124:B124"/>
    <mergeCell ref="A126:B126"/>
    <mergeCell ref="A127:D127"/>
    <mergeCell ref="A128:D128"/>
    <mergeCell ref="A129:D129"/>
    <mergeCell ref="A112:D112"/>
    <mergeCell ref="A116:B116"/>
    <mergeCell ref="A117:D117"/>
    <mergeCell ref="A118:B118"/>
    <mergeCell ref="A121:C121"/>
    <mergeCell ref="A122:B122"/>
    <mergeCell ref="A84:D84"/>
    <mergeCell ref="A85:D85"/>
    <mergeCell ref="A86:D86"/>
    <mergeCell ref="A99:B99"/>
    <mergeCell ref="A100:D100"/>
    <mergeCell ref="A111:B111"/>
    <mergeCell ref="A63:B63"/>
    <mergeCell ref="A64:D64"/>
    <mergeCell ref="A77:C77"/>
    <mergeCell ref="A78:D78"/>
    <mergeCell ref="A79:B79"/>
    <mergeCell ref="A83:C83"/>
    <mergeCell ref="A45:B45"/>
    <mergeCell ref="A46:D46"/>
    <mergeCell ref="A47:D47"/>
    <mergeCell ref="A48:D48"/>
    <mergeCell ref="A52:B52"/>
    <mergeCell ref="A53:D53"/>
    <mergeCell ref="A23:D23"/>
    <mergeCell ref="A24:D24"/>
    <mergeCell ref="A25:D25"/>
    <mergeCell ref="B26:C26"/>
    <mergeCell ref="A39:C39"/>
    <mergeCell ref="A40:D40"/>
    <mergeCell ref="C17:D17"/>
    <mergeCell ref="A18:D18"/>
    <mergeCell ref="B19:C19"/>
    <mergeCell ref="B20:C20"/>
    <mergeCell ref="B21:C21"/>
    <mergeCell ref="B22:C22"/>
    <mergeCell ref="C11:D11"/>
    <mergeCell ref="C12:D12"/>
    <mergeCell ref="A13:D13"/>
    <mergeCell ref="A14:D14"/>
    <mergeCell ref="A15:D15"/>
    <mergeCell ref="C16:D16"/>
    <mergeCell ref="A5:D5"/>
    <mergeCell ref="C6:D6"/>
    <mergeCell ref="C7:D7"/>
    <mergeCell ref="C8:D8"/>
    <mergeCell ref="C9:D9"/>
    <mergeCell ref="C10:D10"/>
    <mergeCell ref="A1:D1"/>
    <mergeCell ref="A2:B2"/>
    <mergeCell ref="C2:D2"/>
    <mergeCell ref="A3:B3"/>
    <mergeCell ref="C3:D3"/>
    <mergeCell ref="A4:D4"/>
  </mergeCells>
  <pageMargins left="0.51181102362204722" right="0.51181102362204722" top="0.78740157480314965" bottom="0.78740157480314965" header="0.31496062992125984" footer="0.31496062992125984"/>
  <pageSetup scale="21" orientation="portrait" horizontalDpi="30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C025BF-2EC8-4CA0-9D24-27DB198C312D}">
  <sheetPr>
    <pageSetUpPr fitToPage="1"/>
  </sheetPr>
  <dimension ref="A1:D215"/>
  <sheetViews>
    <sheetView view="pageBreakPreview" topLeftCell="A187" zoomScale="85" zoomScaleNormal="85" zoomScaleSheetLayoutView="85" workbookViewId="0">
      <selection activeCell="C75" sqref="C75"/>
    </sheetView>
  </sheetViews>
  <sheetFormatPr defaultColWidth="9.1796875" defaultRowHeight="15" customHeight="1" outlineLevelRow="3" x14ac:dyDescent="0.35"/>
  <cols>
    <col min="1" max="1" width="16.7265625" customWidth="1"/>
    <col min="2" max="2" width="76.81640625" customWidth="1"/>
    <col min="3" max="3" width="22.81640625" customWidth="1"/>
    <col min="4" max="4" width="23.54296875" customWidth="1"/>
  </cols>
  <sheetData>
    <row r="1" spans="1:4" x14ac:dyDescent="0.35">
      <c r="A1" s="683" t="s">
        <v>6</v>
      </c>
      <c r="B1" s="683"/>
      <c r="C1" s="683"/>
      <c r="D1" s="683"/>
    </row>
    <row r="2" spans="1:4" x14ac:dyDescent="0.35">
      <c r="A2" s="684" t="s">
        <v>12</v>
      </c>
      <c r="B2" s="684"/>
      <c r="C2" s="685" t="s">
        <v>519</v>
      </c>
      <c r="D2" s="686"/>
    </row>
    <row r="3" spans="1:4" x14ac:dyDescent="0.35">
      <c r="A3" s="684" t="s">
        <v>13</v>
      </c>
      <c r="B3" s="684"/>
      <c r="C3" s="685" t="s">
        <v>520</v>
      </c>
      <c r="D3" s="686"/>
    </row>
    <row r="4" spans="1:4" x14ac:dyDescent="0.35">
      <c r="A4" s="687"/>
      <c r="B4" s="687"/>
      <c r="C4" s="687"/>
      <c r="D4" s="687"/>
    </row>
    <row r="5" spans="1:4" x14ac:dyDescent="0.35">
      <c r="A5" s="687" t="s">
        <v>14</v>
      </c>
      <c r="B5" s="687"/>
      <c r="C5" s="687"/>
      <c r="D5" s="687"/>
    </row>
    <row r="6" spans="1:4" x14ac:dyDescent="0.35">
      <c r="A6" s="65" t="s">
        <v>15</v>
      </c>
      <c r="B6" s="63" t="s">
        <v>5</v>
      </c>
      <c r="C6" s="707" t="s">
        <v>144</v>
      </c>
      <c r="D6" s="708"/>
    </row>
    <row r="7" spans="1:4" x14ac:dyDescent="0.35">
      <c r="A7" s="65" t="s">
        <v>16</v>
      </c>
      <c r="B7" s="63" t="s">
        <v>4</v>
      </c>
      <c r="C7" s="690" t="s">
        <v>504</v>
      </c>
      <c r="D7" s="690"/>
    </row>
    <row r="8" spans="1:4" x14ac:dyDescent="0.35">
      <c r="A8" s="25" t="s">
        <v>17</v>
      </c>
      <c r="B8" s="26" t="s">
        <v>18</v>
      </c>
      <c r="C8" s="722" t="s">
        <v>521</v>
      </c>
      <c r="D8" s="723"/>
    </row>
    <row r="9" spans="1:4" x14ac:dyDescent="0.35">
      <c r="A9" s="65" t="s">
        <v>19</v>
      </c>
      <c r="B9" s="63" t="s">
        <v>20</v>
      </c>
      <c r="C9" s="700" t="s">
        <v>21</v>
      </c>
      <c r="D9" s="701"/>
    </row>
    <row r="10" spans="1:4" x14ac:dyDescent="0.35">
      <c r="A10" s="65" t="s">
        <v>22</v>
      </c>
      <c r="B10" s="63" t="s">
        <v>23</v>
      </c>
      <c r="C10" s="700" t="s">
        <v>262</v>
      </c>
      <c r="D10" s="701"/>
    </row>
    <row r="11" spans="1:4" x14ac:dyDescent="0.35">
      <c r="A11" s="65" t="s">
        <v>24</v>
      </c>
      <c r="B11" s="63" t="s">
        <v>251</v>
      </c>
      <c r="C11" s="691">
        <f>Resumo!F16</f>
        <v>29802.46</v>
      </c>
      <c r="D11" s="692"/>
    </row>
    <row r="12" spans="1:4" x14ac:dyDescent="0.35">
      <c r="A12" s="65" t="s">
        <v>25</v>
      </c>
      <c r="B12" s="63" t="s">
        <v>26</v>
      </c>
      <c r="C12" s="693">
        <f>Resumo!I5</f>
        <v>20</v>
      </c>
      <c r="D12" s="694"/>
    </row>
    <row r="13" spans="1:4" x14ac:dyDescent="0.35">
      <c r="A13" s="695"/>
      <c r="B13" s="696"/>
      <c r="C13" s="696"/>
      <c r="D13" s="696"/>
    </row>
    <row r="14" spans="1:4" x14ac:dyDescent="0.35">
      <c r="A14" s="697" t="s">
        <v>27</v>
      </c>
      <c r="B14" s="698"/>
      <c r="C14" s="698"/>
      <c r="D14" s="699"/>
    </row>
    <row r="15" spans="1:4" x14ac:dyDescent="0.35">
      <c r="A15" s="690" t="s">
        <v>28</v>
      </c>
      <c r="B15" s="690"/>
      <c r="C15" s="690"/>
      <c r="D15" s="690"/>
    </row>
    <row r="16" spans="1:4" x14ac:dyDescent="0.35">
      <c r="A16" s="65">
        <v>1</v>
      </c>
      <c r="B16" s="63" t="s">
        <v>29</v>
      </c>
      <c r="C16" s="700" t="s">
        <v>266</v>
      </c>
      <c r="D16" s="701" t="s">
        <v>0</v>
      </c>
    </row>
    <row r="17" spans="1:4" x14ac:dyDescent="0.35">
      <c r="A17" s="65">
        <v>2</v>
      </c>
      <c r="B17" s="27" t="s">
        <v>30</v>
      </c>
      <c r="C17" s="688" t="s">
        <v>263</v>
      </c>
      <c r="D17" s="689"/>
    </row>
    <row r="18" spans="1:4" x14ac:dyDescent="0.35">
      <c r="A18" s="690" t="s">
        <v>31</v>
      </c>
      <c r="B18" s="690"/>
      <c r="C18" s="690"/>
      <c r="D18" s="690"/>
    </row>
    <row r="19" spans="1:4" x14ac:dyDescent="0.4">
      <c r="A19" s="65">
        <v>3</v>
      </c>
      <c r="B19" s="632" t="s">
        <v>3</v>
      </c>
      <c r="C19" s="633"/>
      <c r="D19" s="103">
        <v>1325</v>
      </c>
    </row>
    <row r="20" spans="1:4" x14ac:dyDescent="0.4">
      <c r="A20" s="65">
        <v>4</v>
      </c>
      <c r="B20" s="632" t="s">
        <v>252</v>
      </c>
      <c r="C20" s="633"/>
      <c r="D20" s="155">
        <v>220</v>
      </c>
    </row>
    <row r="21" spans="1:4" x14ac:dyDescent="0.35">
      <c r="A21" s="65">
        <v>5</v>
      </c>
      <c r="B21" s="632" t="s">
        <v>32</v>
      </c>
      <c r="C21" s="633"/>
      <c r="D21" s="73" t="s">
        <v>267</v>
      </c>
    </row>
    <row r="22" spans="1:4" x14ac:dyDescent="0.35">
      <c r="A22" s="65">
        <v>6</v>
      </c>
      <c r="B22" s="632" t="s">
        <v>2</v>
      </c>
      <c r="C22" s="633"/>
      <c r="D22" s="74">
        <v>44562</v>
      </c>
    </row>
    <row r="23" spans="1:4" x14ac:dyDescent="0.35">
      <c r="A23" s="700"/>
      <c r="B23" s="711"/>
      <c r="C23" s="711"/>
      <c r="D23" s="701"/>
    </row>
    <row r="24" spans="1:4" x14ac:dyDescent="0.35">
      <c r="A24" s="712" t="s">
        <v>33</v>
      </c>
      <c r="B24" s="712"/>
      <c r="C24" s="712"/>
      <c r="D24" s="712"/>
    </row>
    <row r="25" spans="1:4" x14ac:dyDescent="0.35">
      <c r="A25" s="713"/>
      <c r="B25" s="714"/>
      <c r="C25" s="714"/>
      <c r="D25" s="694"/>
    </row>
    <row r="26" spans="1:4" x14ac:dyDescent="0.35">
      <c r="A26" s="64">
        <v>1</v>
      </c>
      <c r="B26" s="634" t="s">
        <v>34</v>
      </c>
      <c r="C26" s="636"/>
      <c r="D26" s="64" t="s">
        <v>35</v>
      </c>
    </row>
    <row r="27" spans="1:4" outlineLevel="1" x14ac:dyDescent="0.35">
      <c r="A27" s="65" t="s">
        <v>36</v>
      </c>
      <c r="B27" s="63" t="s">
        <v>146</v>
      </c>
      <c r="C27" s="71">
        <f>'SR - ASG int'!C27</f>
        <v>220</v>
      </c>
      <c r="D27" s="104">
        <f>D19/220*C27</f>
        <v>1325</v>
      </c>
    </row>
    <row r="28" spans="1:4" outlineLevel="1" x14ac:dyDescent="0.35">
      <c r="A28" s="65" t="s">
        <v>16</v>
      </c>
      <c r="B28" s="63" t="s">
        <v>37</v>
      </c>
      <c r="C28" s="28">
        <v>0.1</v>
      </c>
      <c r="D28" s="104">
        <f>D27*10%</f>
        <v>132.5</v>
      </c>
    </row>
    <row r="29" spans="1:4" outlineLevel="1" x14ac:dyDescent="0.35">
      <c r="A29" s="65" t="s">
        <v>17</v>
      </c>
      <c r="B29" s="63" t="s">
        <v>38</v>
      </c>
      <c r="C29" s="28">
        <v>0.4</v>
      </c>
      <c r="D29" s="104">
        <v>0</v>
      </c>
    </row>
    <row r="30" spans="1:4" outlineLevel="1" x14ac:dyDescent="0.35">
      <c r="A30" s="65" t="s">
        <v>19</v>
      </c>
      <c r="B30" s="63" t="s">
        <v>148</v>
      </c>
      <c r="C30" s="156">
        <v>0</v>
      </c>
      <c r="D30" s="105">
        <f>SUM(D31:D32)</f>
        <v>0</v>
      </c>
    </row>
    <row r="31" spans="1:4" outlineLevel="2" x14ac:dyDescent="0.35">
      <c r="A31" s="78" t="s">
        <v>111</v>
      </c>
      <c r="B31" s="63" t="s">
        <v>149</v>
      </c>
      <c r="C31" s="79">
        <v>0.2</v>
      </c>
      <c r="D31" s="105">
        <f>(SUM(D27:D29)/C27)*C31*15*C30</f>
        <v>0</v>
      </c>
    </row>
    <row r="32" spans="1:4" outlineLevel="2" x14ac:dyDescent="0.35">
      <c r="A32" s="78" t="s">
        <v>112</v>
      </c>
      <c r="B32" s="63" t="s">
        <v>150</v>
      </c>
      <c r="C32" s="80">
        <f>C30*(60/52.5)/8</f>
        <v>0</v>
      </c>
      <c r="D32" s="105">
        <f>(SUM(D27:D29)/C27)*(C31)*15*C32</f>
        <v>0</v>
      </c>
    </row>
    <row r="33" spans="1:4" outlineLevel="1" x14ac:dyDescent="0.35">
      <c r="A33" s="65" t="s">
        <v>22</v>
      </c>
      <c r="B33" s="63" t="s">
        <v>151</v>
      </c>
      <c r="C33" s="28" t="s">
        <v>152</v>
      </c>
      <c r="D33" s="1">
        <f>SUM(D34:D37)</f>
        <v>0</v>
      </c>
    </row>
    <row r="34" spans="1:4" outlineLevel="2" x14ac:dyDescent="0.35">
      <c r="A34" s="81" t="s">
        <v>153</v>
      </c>
      <c r="B34" s="82" t="s">
        <v>154</v>
      </c>
      <c r="C34" s="83">
        <v>0</v>
      </c>
      <c r="D34" s="106">
        <f>(SUM($D$27:$D$29)/$C$27)*C34*1.5</f>
        <v>0</v>
      </c>
    </row>
    <row r="35" spans="1:4" outlineLevel="2" x14ac:dyDescent="0.35">
      <c r="A35" s="81" t="s">
        <v>155</v>
      </c>
      <c r="B35" s="84" t="s">
        <v>156</v>
      </c>
      <c r="C35" s="85">
        <v>0</v>
      </c>
      <c r="D35" s="106">
        <f>(SUM($D$27:$D$29)/$C$27)*C35*((60/52.5)*1.2*1.5)</f>
        <v>0</v>
      </c>
    </row>
    <row r="36" spans="1:4" outlineLevel="2" x14ac:dyDescent="0.35">
      <c r="A36" s="81" t="s">
        <v>157</v>
      </c>
      <c r="B36" s="82" t="s">
        <v>158</v>
      </c>
      <c r="C36" s="86">
        <f>C34*0.1429</f>
        <v>0</v>
      </c>
      <c r="D36" s="106">
        <f>(SUM($D$27:$D$29)/$C$27)*C36*2</f>
        <v>0</v>
      </c>
    </row>
    <row r="37" spans="1:4" outlineLevel="2" x14ac:dyDescent="0.35">
      <c r="A37" s="81" t="s">
        <v>159</v>
      </c>
      <c r="B37" s="82" t="s">
        <v>160</v>
      </c>
      <c r="C37" s="86">
        <f>C34*0.1429</f>
        <v>0</v>
      </c>
      <c r="D37" s="106">
        <f>(SUM($D$27:$D$29)/$C$27)*C37*((60/52.5)*1.2*2)</f>
        <v>0</v>
      </c>
    </row>
    <row r="38" spans="1:4" outlineLevel="1" x14ac:dyDescent="0.35">
      <c r="A38" s="65" t="s">
        <v>24</v>
      </c>
      <c r="B38" s="55" t="s">
        <v>526</v>
      </c>
      <c r="C38" s="56">
        <v>0</v>
      </c>
      <c r="D38" s="107">
        <v>293.64999999999998</v>
      </c>
    </row>
    <row r="39" spans="1:4" x14ac:dyDescent="0.35">
      <c r="A39" s="634" t="s">
        <v>40</v>
      </c>
      <c r="B39" s="635"/>
      <c r="C39" s="636"/>
      <c r="D39" s="108">
        <f>SUM(D27:D30,D33,D38)</f>
        <v>1751.15</v>
      </c>
    </row>
    <row r="40" spans="1:4" x14ac:dyDescent="0.35">
      <c r="A40" s="650"/>
      <c r="B40" s="650"/>
      <c r="C40" s="650"/>
      <c r="D40" s="650"/>
    </row>
    <row r="41" spans="1:4" outlineLevel="1" x14ac:dyDescent="0.35">
      <c r="A41" s="87" t="s">
        <v>161</v>
      </c>
      <c r="B41" s="109" t="s">
        <v>162</v>
      </c>
      <c r="C41" s="110" t="s">
        <v>163</v>
      </c>
      <c r="D41" s="110" t="s">
        <v>35</v>
      </c>
    </row>
    <row r="42" spans="1:4" outlineLevel="1" x14ac:dyDescent="0.35">
      <c r="A42" s="111" t="s">
        <v>36</v>
      </c>
      <c r="B42" s="27" t="s">
        <v>164</v>
      </c>
      <c r="C42" s="88">
        <v>0</v>
      </c>
      <c r="D42" s="112">
        <f>(SUM(D27)/$C$27)*C42*1.5</f>
        <v>0</v>
      </c>
    </row>
    <row r="43" spans="1:4" outlineLevel="1" x14ac:dyDescent="0.35">
      <c r="A43" s="113" t="s">
        <v>17</v>
      </c>
      <c r="B43" s="114" t="s">
        <v>165</v>
      </c>
      <c r="C43" s="115">
        <v>0</v>
      </c>
      <c r="D43" s="104">
        <f>C43*177</f>
        <v>0</v>
      </c>
    </row>
    <row r="44" spans="1:4" outlineLevel="1" x14ac:dyDescent="0.35">
      <c r="A44" s="65" t="s">
        <v>19</v>
      </c>
      <c r="B44" s="55" t="s">
        <v>39</v>
      </c>
      <c r="C44" s="56">
        <v>0</v>
      </c>
      <c r="D44" s="107">
        <v>0</v>
      </c>
    </row>
    <row r="45" spans="1:4" x14ac:dyDescent="0.35">
      <c r="A45" s="644" t="s">
        <v>166</v>
      </c>
      <c r="B45" s="645"/>
      <c r="C45" s="30">
        <f>D45/D39</f>
        <v>0</v>
      </c>
      <c r="D45" s="116">
        <f>SUM(D42:D43)</f>
        <v>0</v>
      </c>
    </row>
    <row r="46" spans="1:4" x14ac:dyDescent="0.35">
      <c r="A46" s="646"/>
      <c r="B46" s="647"/>
      <c r="C46" s="647"/>
      <c r="D46" s="648"/>
    </row>
    <row r="47" spans="1:4" x14ac:dyDescent="0.35">
      <c r="A47" s="663" t="s">
        <v>41</v>
      </c>
      <c r="B47" s="664"/>
      <c r="C47" s="664"/>
      <c r="D47" s="665"/>
    </row>
    <row r="48" spans="1:4" outlineLevel="1" x14ac:dyDescent="0.35">
      <c r="A48" s="646"/>
      <c r="B48" s="647"/>
      <c r="C48" s="647"/>
      <c r="D48" s="648"/>
    </row>
    <row r="49" spans="1:4" outlineLevel="1" x14ac:dyDescent="0.35">
      <c r="A49" s="110" t="s">
        <v>42</v>
      </c>
      <c r="B49" s="109" t="s">
        <v>43</v>
      </c>
      <c r="C49" s="110" t="s">
        <v>44</v>
      </c>
      <c r="D49" s="110" t="s">
        <v>35</v>
      </c>
    </row>
    <row r="50" spans="1:4" outlineLevel="2" x14ac:dyDescent="0.35">
      <c r="A50" s="113" t="s">
        <v>36</v>
      </c>
      <c r="B50" s="114" t="s">
        <v>45</v>
      </c>
      <c r="C50" s="29">
        <f>1/12</f>
        <v>8.3299999999999999E-2</v>
      </c>
      <c r="D50" s="104">
        <f>C50*D39</f>
        <v>145.87</v>
      </c>
    </row>
    <row r="51" spans="1:4" outlineLevel="2" x14ac:dyDescent="0.35">
      <c r="A51" s="113" t="s">
        <v>16</v>
      </c>
      <c r="B51" s="114" t="s">
        <v>113</v>
      </c>
      <c r="C51" s="29">
        <f>IF(C12&gt;60,(1/C12/3)*5,IF(C12&gt;48,(1/C12/3)*4,IF(C12&gt;36,(1/C12/3)*3,IF(C12&gt;24,(1/C12/3)*2,IF(C12&gt;12,(1/C12/3)*1,0)))))</f>
        <v>1.67E-2</v>
      </c>
      <c r="D51" s="104">
        <f>C51*D39</f>
        <v>29.24</v>
      </c>
    </row>
    <row r="52" spans="1:4" outlineLevel="1" x14ac:dyDescent="0.35">
      <c r="A52" s="644" t="s">
        <v>11</v>
      </c>
      <c r="B52" s="645"/>
      <c r="C52" s="30">
        <f>SUM(C50:C51)</f>
        <v>0.1</v>
      </c>
      <c r="D52" s="116">
        <f>SUM(D50:D51)</f>
        <v>175.11</v>
      </c>
    </row>
    <row r="53" spans="1:4" outlineLevel="1" x14ac:dyDescent="0.35">
      <c r="A53" s="646"/>
      <c r="B53" s="647"/>
      <c r="C53" s="647"/>
      <c r="D53" s="648"/>
    </row>
    <row r="54" spans="1:4" outlineLevel="1" x14ac:dyDescent="0.35">
      <c r="A54" s="110" t="s">
        <v>46</v>
      </c>
      <c r="B54" s="117" t="s">
        <v>47</v>
      </c>
      <c r="C54" s="110" t="s">
        <v>44</v>
      </c>
      <c r="D54" s="118" t="s">
        <v>35</v>
      </c>
    </row>
    <row r="55" spans="1:4" outlineLevel="2" x14ac:dyDescent="0.35">
      <c r="A55" s="111" t="s">
        <v>36</v>
      </c>
      <c r="B55" s="31" t="s">
        <v>48</v>
      </c>
      <c r="C55" s="32">
        <v>0.2</v>
      </c>
      <c r="D55" s="104">
        <f t="shared" ref="D55:D62" si="0">C55*($D$39+$D$52)</f>
        <v>385.25</v>
      </c>
    </row>
    <row r="56" spans="1:4" outlineLevel="2" x14ac:dyDescent="0.35">
      <c r="A56" s="111" t="s">
        <v>16</v>
      </c>
      <c r="B56" s="31" t="s">
        <v>49</v>
      </c>
      <c r="C56" s="32">
        <v>2.5000000000000001E-2</v>
      </c>
      <c r="D56" s="104">
        <f t="shared" si="0"/>
        <v>48.16</v>
      </c>
    </row>
    <row r="57" spans="1:4" outlineLevel="2" x14ac:dyDescent="0.35">
      <c r="A57" s="111" t="s">
        <v>17</v>
      </c>
      <c r="B57" s="31" t="s">
        <v>167</v>
      </c>
      <c r="C57" s="66">
        <v>0.03</v>
      </c>
      <c r="D57" s="104">
        <f t="shared" si="0"/>
        <v>57.79</v>
      </c>
    </row>
    <row r="58" spans="1:4" outlineLevel="2" x14ac:dyDescent="0.35">
      <c r="A58" s="111" t="s">
        <v>19</v>
      </c>
      <c r="B58" s="31" t="s">
        <v>168</v>
      </c>
      <c r="C58" s="32">
        <v>1.4999999999999999E-2</v>
      </c>
      <c r="D58" s="104">
        <f t="shared" si="0"/>
        <v>28.89</v>
      </c>
    </row>
    <row r="59" spans="1:4" outlineLevel="2" x14ac:dyDescent="0.35">
      <c r="A59" s="111" t="s">
        <v>22</v>
      </c>
      <c r="B59" s="31" t="s">
        <v>169</v>
      </c>
      <c r="C59" s="32">
        <v>0.01</v>
      </c>
      <c r="D59" s="104">
        <f t="shared" si="0"/>
        <v>19.260000000000002</v>
      </c>
    </row>
    <row r="60" spans="1:4" outlineLevel="2" x14ac:dyDescent="0.35">
      <c r="A60" s="111" t="s">
        <v>24</v>
      </c>
      <c r="B60" s="31" t="s">
        <v>50</v>
      </c>
      <c r="C60" s="32">
        <v>6.0000000000000001E-3</v>
      </c>
      <c r="D60" s="104">
        <f t="shared" si="0"/>
        <v>11.56</v>
      </c>
    </row>
    <row r="61" spans="1:4" outlineLevel="2" x14ac:dyDescent="0.35">
      <c r="A61" s="111" t="s">
        <v>25</v>
      </c>
      <c r="B61" s="31" t="s">
        <v>51</v>
      </c>
      <c r="C61" s="32">
        <v>2E-3</v>
      </c>
      <c r="D61" s="104">
        <f t="shared" si="0"/>
        <v>3.85</v>
      </c>
    </row>
    <row r="62" spans="1:4" outlineLevel="2" x14ac:dyDescent="0.35">
      <c r="A62" s="111" t="s">
        <v>52</v>
      </c>
      <c r="B62" s="31" t="s">
        <v>53</v>
      </c>
      <c r="C62" s="32">
        <v>0.08</v>
      </c>
      <c r="D62" s="104">
        <f t="shared" si="0"/>
        <v>154.1</v>
      </c>
    </row>
    <row r="63" spans="1:4" outlineLevel="1" x14ac:dyDescent="0.35">
      <c r="A63" s="644" t="s">
        <v>11</v>
      </c>
      <c r="B63" s="645"/>
      <c r="C63" s="33">
        <f>SUM(C55:C62)</f>
        <v>0.36799999999999999</v>
      </c>
      <c r="D63" s="119">
        <f>SUM(D55:D62)</f>
        <v>708.86</v>
      </c>
    </row>
    <row r="64" spans="1:4" outlineLevel="1" x14ac:dyDescent="0.35">
      <c r="A64" s="646"/>
      <c r="B64" s="647"/>
      <c r="C64" s="647"/>
      <c r="D64" s="648"/>
    </row>
    <row r="65" spans="1:4" outlineLevel="1" x14ac:dyDescent="0.35">
      <c r="A65" s="110" t="s">
        <v>54</v>
      </c>
      <c r="B65" s="117" t="s">
        <v>55</v>
      </c>
      <c r="C65" s="110" t="s">
        <v>56</v>
      </c>
      <c r="D65" s="110" t="s">
        <v>35</v>
      </c>
    </row>
    <row r="66" spans="1:4" outlineLevel="2" x14ac:dyDescent="0.35">
      <c r="A66" s="111" t="s">
        <v>36</v>
      </c>
      <c r="B66" s="31" t="s">
        <v>57</v>
      </c>
      <c r="C66" s="120">
        <f>+'PPA COP'!C66</f>
        <v>3.75</v>
      </c>
      <c r="D66" s="121">
        <f>IF(D67+D68&gt;0,(D67+D68),0)</f>
        <v>85.5</v>
      </c>
    </row>
    <row r="67" spans="1:4" outlineLevel="3" x14ac:dyDescent="0.35">
      <c r="A67" s="122" t="s">
        <v>110</v>
      </c>
      <c r="B67" s="31" t="s">
        <v>170</v>
      </c>
      <c r="C67" s="123">
        <v>22</v>
      </c>
      <c r="D67" s="124">
        <f>C66*C67*2</f>
        <v>165</v>
      </c>
    </row>
    <row r="68" spans="1:4" outlineLevel="3" x14ac:dyDescent="0.35">
      <c r="A68" s="122" t="s">
        <v>114</v>
      </c>
      <c r="B68" s="31" t="s">
        <v>171</v>
      </c>
      <c r="C68" s="125">
        <v>0.06</v>
      </c>
      <c r="D68" s="124">
        <f>-D27*C68</f>
        <v>-79.5</v>
      </c>
    </row>
    <row r="69" spans="1:4" outlineLevel="2" x14ac:dyDescent="0.35">
      <c r="A69" s="111" t="s">
        <v>16</v>
      </c>
      <c r="B69" s="31" t="s">
        <v>58</v>
      </c>
      <c r="C69" s="382">
        <f>290/22</f>
        <v>13.182</v>
      </c>
      <c r="D69" s="121">
        <f>D70+D71</f>
        <v>290</v>
      </c>
    </row>
    <row r="70" spans="1:4" outlineLevel="3" x14ac:dyDescent="0.35">
      <c r="A70" s="122" t="s">
        <v>90</v>
      </c>
      <c r="B70" s="31" t="s">
        <v>172</v>
      </c>
      <c r="C70" s="123">
        <v>22</v>
      </c>
      <c r="D70" s="124">
        <f>C69*C70</f>
        <v>290</v>
      </c>
    </row>
    <row r="71" spans="1:4" outlineLevel="3" x14ac:dyDescent="0.35">
      <c r="A71" s="122" t="s">
        <v>115</v>
      </c>
      <c r="B71" s="31" t="s">
        <v>91</v>
      </c>
      <c r="C71" s="127">
        <f>'SR - ASG int'!C71</f>
        <v>0</v>
      </c>
      <c r="D71" s="124">
        <f>D70*C71</f>
        <v>0</v>
      </c>
    </row>
    <row r="72" spans="1:4" outlineLevel="2" x14ac:dyDescent="0.35">
      <c r="A72" s="111" t="s">
        <v>17</v>
      </c>
      <c r="B72" s="75" t="s">
        <v>291</v>
      </c>
      <c r="C72" s="126">
        <f>'SR - ASG int'!C72</f>
        <v>9.6999999999999993</v>
      </c>
      <c r="D72" s="129">
        <f>C72</f>
        <v>9.6999999999999993</v>
      </c>
    </row>
    <row r="73" spans="1:4" outlineLevel="2" x14ac:dyDescent="0.35">
      <c r="A73" s="111" t="s">
        <v>19</v>
      </c>
      <c r="B73" s="76" t="s">
        <v>293</v>
      </c>
      <c r="C73" s="126">
        <f>140*3</f>
        <v>420</v>
      </c>
      <c r="D73" s="129">
        <f>C73*C152</f>
        <v>0.84</v>
      </c>
    </row>
    <row r="74" spans="1:4" outlineLevel="2" x14ac:dyDescent="0.35">
      <c r="A74" s="111" t="s">
        <v>22</v>
      </c>
      <c r="B74" s="75" t="s">
        <v>292</v>
      </c>
      <c r="C74" s="126">
        <v>21</v>
      </c>
      <c r="D74" s="129">
        <f>C74</f>
        <v>21</v>
      </c>
    </row>
    <row r="75" spans="1:4" outlineLevel="2" x14ac:dyDescent="0.35">
      <c r="A75" s="111" t="s">
        <v>24</v>
      </c>
      <c r="B75" s="75" t="s">
        <v>554</v>
      </c>
      <c r="C75" s="128">
        <v>0</v>
      </c>
      <c r="D75" s="129">
        <v>97</v>
      </c>
    </row>
    <row r="76" spans="1:4" outlineLevel="2" x14ac:dyDescent="0.35">
      <c r="A76" s="111" t="s">
        <v>25</v>
      </c>
      <c r="B76" s="75" t="s">
        <v>39</v>
      </c>
      <c r="C76" s="126">
        <v>0</v>
      </c>
      <c r="D76" s="130">
        <f>C76</f>
        <v>0</v>
      </c>
    </row>
    <row r="77" spans="1:4" outlineLevel="1" x14ac:dyDescent="0.35">
      <c r="A77" s="644" t="s">
        <v>59</v>
      </c>
      <c r="B77" s="657"/>
      <c r="C77" s="645"/>
      <c r="D77" s="116">
        <f>SUM(D66,D69,D72:D76)</f>
        <v>504.04</v>
      </c>
    </row>
    <row r="78" spans="1:4" outlineLevel="1" x14ac:dyDescent="0.35">
      <c r="A78" s="646"/>
      <c r="B78" s="647"/>
      <c r="C78" s="647"/>
      <c r="D78" s="648"/>
    </row>
    <row r="79" spans="1:4" outlineLevel="1" x14ac:dyDescent="0.35">
      <c r="A79" s="661" t="s">
        <v>60</v>
      </c>
      <c r="B79" s="662"/>
      <c r="C79" s="110" t="s">
        <v>44</v>
      </c>
      <c r="D79" s="110" t="s">
        <v>35</v>
      </c>
    </row>
    <row r="80" spans="1:4" outlineLevel="1" x14ac:dyDescent="0.35">
      <c r="A80" s="111" t="s">
        <v>61</v>
      </c>
      <c r="B80" s="31" t="s">
        <v>43</v>
      </c>
      <c r="C80" s="34">
        <f>C52</f>
        <v>0.1</v>
      </c>
      <c r="D80" s="104">
        <f>D52</f>
        <v>175.11</v>
      </c>
    </row>
    <row r="81" spans="1:4" outlineLevel="1" x14ac:dyDescent="0.35">
      <c r="A81" s="111" t="s">
        <v>46</v>
      </c>
      <c r="B81" s="31" t="s">
        <v>47</v>
      </c>
      <c r="C81" s="34">
        <f>C63</f>
        <v>0.36799999999999999</v>
      </c>
      <c r="D81" s="104">
        <f>D63</f>
        <v>708.86</v>
      </c>
    </row>
    <row r="82" spans="1:4" outlineLevel="1" x14ac:dyDescent="0.35">
      <c r="A82" s="111" t="s">
        <v>62</v>
      </c>
      <c r="B82" s="31" t="s">
        <v>55</v>
      </c>
      <c r="C82" s="34">
        <f>D77/D39</f>
        <v>0.2878</v>
      </c>
      <c r="D82" s="104">
        <f>D77</f>
        <v>504.04</v>
      </c>
    </row>
    <row r="83" spans="1:4" x14ac:dyDescent="0.35">
      <c r="A83" s="644" t="s">
        <v>11</v>
      </c>
      <c r="B83" s="657"/>
      <c r="C83" s="645"/>
      <c r="D83" s="116">
        <f>SUM(D80:D82)</f>
        <v>1388.01</v>
      </c>
    </row>
    <row r="84" spans="1:4" x14ac:dyDescent="0.35">
      <c r="A84" s="646"/>
      <c r="B84" s="647"/>
      <c r="C84" s="647"/>
      <c r="D84" s="648"/>
    </row>
    <row r="85" spans="1:4" x14ac:dyDescent="0.35">
      <c r="A85" s="680" t="s">
        <v>173</v>
      </c>
      <c r="B85" s="681"/>
      <c r="C85" s="681"/>
      <c r="D85" s="682"/>
    </row>
    <row r="86" spans="1:4" outlineLevel="1" x14ac:dyDescent="0.35">
      <c r="A86" s="646"/>
      <c r="B86" s="647"/>
      <c r="C86" s="647"/>
      <c r="D86" s="648"/>
    </row>
    <row r="87" spans="1:4" outlineLevel="1" x14ac:dyDescent="0.35">
      <c r="A87" s="64" t="s">
        <v>174</v>
      </c>
      <c r="B87" s="109" t="s">
        <v>175</v>
      </c>
      <c r="C87" s="110" t="s">
        <v>44</v>
      </c>
      <c r="D87" s="110" t="s">
        <v>35</v>
      </c>
    </row>
    <row r="88" spans="1:4" outlineLevel="2" x14ac:dyDescent="0.35">
      <c r="A88" s="35" t="s">
        <v>36</v>
      </c>
      <c r="B88" s="36" t="s">
        <v>176</v>
      </c>
      <c r="C88" s="35" t="s">
        <v>152</v>
      </c>
      <c r="D88" s="131">
        <f>IF(C99&gt;1,SUM(D89:D92)*2,SUM(D89:D92))</f>
        <v>2467.6799999999998</v>
      </c>
    </row>
    <row r="89" spans="1:4" outlineLevel="3" x14ac:dyDescent="0.35">
      <c r="A89" s="37" t="s">
        <v>177</v>
      </c>
      <c r="B89" s="38" t="s">
        <v>178</v>
      </c>
      <c r="C89" s="35">
        <f>(IF(C12&gt;60,45,IF(C12&gt;48,42,IF(C12&gt;36,39,IF(C12&gt;24,36,IF(C12&gt;12,33,30)))))/30)</f>
        <v>1.1000000000000001</v>
      </c>
      <c r="D89" s="131">
        <f>D39*C89</f>
        <v>1926.27</v>
      </c>
    </row>
    <row r="90" spans="1:4" outlineLevel="3" x14ac:dyDescent="0.35">
      <c r="A90" s="37" t="s">
        <v>179</v>
      </c>
      <c r="B90" s="38" t="s">
        <v>180</v>
      </c>
      <c r="C90" s="29">
        <f>1/12</f>
        <v>8.3299999999999999E-2</v>
      </c>
      <c r="D90" s="131">
        <f>C90*D89</f>
        <v>160.46</v>
      </c>
    </row>
    <row r="91" spans="1:4" outlineLevel="3" x14ac:dyDescent="0.35">
      <c r="A91" s="37" t="s">
        <v>181</v>
      </c>
      <c r="B91" s="38" t="s">
        <v>182</v>
      </c>
      <c r="C91" s="29">
        <f>(1/12)+(1/12/3)</f>
        <v>0.1111</v>
      </c>
      <c r="D91" s="132">
        <f>C91*D89</f>
        <v>214.01</v>
      </c>
    </row>
    <row r="92" spans="1:4" outlineLevel="3" x14ac:dyDescent="0.35">
      <c r="A92" s="37" t="s">
        <v>183</v>
      </c>
      <c r="B92" s="38" t="s">
        <v>184</v>
      </c>
      <c r="C92" s="39">
        <v>0.08</v>
      </c>
      <c r="D92" s="131">
        <f>SUM(D89:D90)*C92</f>
        <v>166.94</v>
      </c>
    </row>
    <row r="93" spans="1:4" outlineLevel="2" x14ac:dyDescent="0.35">
      <c r="A93" s="35" t="s">
        <v>16</v>
      </c>
      <c r="B93" s="36" t="s">
        <v>185</v>
      </c>
      <c r="C93" s="40">
        <v>0.4</v>
      </c>
      <c r="D93" s="131">
        <f>C93*D94</f>
        <v>1234.68</v>
      </c>
    </row>
    <row r="94" spans="1:4" outlineLevel="3" x14ac:dyDescent="0.35">
      <c r="A94" s="35" t="s">
        <v>186</v>
      </c>
      <c r="B94" s="36" t="s">
        <v>187</v>
      </c>
      <c r="C94" s="40">
        <f>C62</f>
        <v>0.08</v>
      </c>
      <c r="D94" s="131">
        <f>C94*D95</f>
        <v>3086.69</v>
      </c>
    </row>
    <row r="95" spans="1:4" outlineLevel="3" x14ac:dyDescent="0.35">
      <c r="A95" s="35" t="s">
        <v>188</v>
      </c>
      <c r="B95" s="41" t="s">
        <v>116</v>
      </c>
      <c r="C95" s="42" t="s">
        <v>152</v>
      </c>
      <c r="D95" s="132">
        <f>SUM(D96:D98)</f>
        <v>38583.68</v>
      </c>
    </row>
    <row r="96" spans="1:4" outlineLevel="3" x14ac:dyDescent="0.35">
      <c r="A96" s="37" t="s">
        <v>189</v>
      </c>
      <c r="B96" s="38" t="s">
        <v>190</v>
      </c>
      <c r="C96" s="43">
        <f>C12-C98</f>
        <v>19</v>
      </c>
      <c r="D96" s="131">
        <f>D39*C96</f>
        <v>33271.85</v>
      </c>
    </row>
    <row r="97" spans="1:4" outlineLevel="3" x14ac:dyDescent="0.35">
      <c r="A97" s="37" t="s">
        <v>191</v>
      </c>
      <c r="B97" s="38" t="s">
        <v>192</v>
      </c>
      <c r="C97" s="44">
        <f>C12/12</f>
        <v>1.7</v>
      </c>
      <c r="D97" s="131">
        <f>D39*C97</f>
        <v>2976.96</v>
      </c>
    </row>
    <row r="98" spans="1:4" outlineLevel="3" x14ac:dyDescent="0.35">
      <c r="A98" s="37" t="s">
        <v>193</v>
      </c>
      <c r="B98" s="38" t="s">
        <v>194</v>
      </c>
      <c r="C98" s="42">
        <f>IF(C12&gt;60,5,IF(C12&gt;48,4,IF(C12&gt;36,3,IF(C12&gt;24,2,IF(C12&gt;12,1,0)))))</f>
        <v>1</v>
      </c>
      <c r="D98" s="132">
        <f>D39*C98*1.33333333333333</f>
        <v>2334.87</v>
      </c>
    </row>
    <row r="99" spans="1:4" outlineLevel="1" x14ac:dyDescent="0.35">
      <c r="A99" s="644" t="s">
        <v>11</v>
      </c>
      <c r="B99" s="645"/>
      <c r="C99" s="67">
        <f>'SR - ASG int'!C99</f>
        <v>5.5500000000000001E-2</v>
      </c>
      <c r="D99" s="116">
        <f>IF(C99&gt;1,D88+D93,(D88+D93)*C99)</f>
        <v>205.48</v>
      </c>
    </row>
    <row r="100" spans="1:4" outlineLevel="1" x14ac:dyDescent="0.35">
      <c r="A100" s="658"/>
      <c r="B100" s="659"/>
      <c r="C100" s="659"/>
      <c r="D100" s="660"/>
    </row>
    <row r="101" spans="1:4" outlineLevel="1" x14ac:dyDescent="0.35">
      <c r="A101" s="64" t="s">
        <v>195</v>
      </c>
      <c r="B101" s="109" t="s">
        <v>196</v>
      </c>
      <c r="C101" s="110" t="s">
        <v>44</v>
      </c>
      <c r="D101" s="110" t="s">
        <v>35</v>
      </c>
    </row>
    <row r="102" spans="1:4" outlineLevel="2" x14ac:dyDescent="0.35">
      <c r="A102" s="35" t="s">
        <v>36</v>
      </c>
      <c r="B102" s="41" t="s">
        <v>197</v>
      </c>
      <c r="C102" s="45">
        <f>IF(C111&gt;1,(1/30*7)*2,(1/30*7))</f>
        <v>0.23330000000000001</v>
      </c>
      <c r="D102" s="132">
        <f>C102*SUM(D103:D107)</f>
        <v>768.42</v>
      </c>
    </row>
    <row r="103" spans="1:4" outlineLevel="3" x14ac:dyDescent="0.35">
      <c r="A103" s="37" t="s">
        <v>177</v>
      </c>
      <c r="B103" s="38" t="s">
        <v>198</v>
      </c>
      <c r="C103" s="35">
        <v>1</v>
      </c>
      <c r="D103" s="131">
        <f>D39</f>
        <v>1751.15</v>
      </c>
    </row>
    <row r="104" spans="1:4" outlineLevel="3" x14ac:dyDescent="0.35">
      <c r="A104" s="37" t="s">
        <v>179</v>
      </c>
      <c r="B104" s="38" t="s">
        <v>199</v>
      </c>
      <c r="C104" s="29">
        <f>1/12</f>
        <v>8.3299999999999999E-2</v>
      </c>
      <c r="D104" s="131">
        <f>C104*D103</f>
        <v>145.87</v>
      </c>
    </row>
    <row r="105" spans="1:4" outlineLevel="3" x14ac:dyDescent="0.35">
      <c r="A105" s="37" t="s">
        <v>181</v>
      </c>
      <c r="B105" s="38" t="s">
        <v>200</v>
      </c>
      <c r="C105" s="29">
        <f>(1/12)+(1/12/3)</f>
        <v>0.1111</v>
      </c>
      <c r="D105" s="131">
        <f>C105*D103</f>
        <v>194.55</v>
      </c>
    </row>
    <row r="106" spans="1:4" outlineLevel="3" x14ac:dyDescent="0.35">
      <c r="A106" s="37" t="s">
        <v>183</v>
      </c>
      <c r="B106" s="46" t="s">
        <v>63</v>
      </c>
      <c r="C106" s="47">
        <f>C63</f>
        <v>0.36799999999999999</v>
      </c>
      <c r="D106" s="132">
        <f>C106*(D103+D104)</f>
        <v>698.1</v>
      </c>
    </row>
    <row r="107" spans="1:4" outlineLevel="3" x14ac:dyDescent="0.35">
      <c r="A107" s="37" t="s">
        <v>201</v>
      </c>
      <c r="B107" s="46" t="s">
        <v>202</v>
      </c>
      <c r="C107" s="42">
        <v>1</v>
      </c>
      <c r="D107" s="132">
        <f>D77</f>
        <v>504.04</v>
      </c>
    </row>
    <row r="108" spans="1:4" outlineLevel="2" x14ac:dyDescent="0.35">
      <c r="A108" s="35" t="s">
        <v>16</v>
      </c>
      <c r="B108" s="36" t="s">
        <v>203</v>
      </c>
      <c r="C108" s="40">
        <v>0.4</v>
      </c>
      <c r="D108" s="131">
        <f>C108*D109</f>
        <v>1234.68</v>
      </c>
    </row>
    <row r="109" spans="1:4" outlineLevel="2" x14ac:dyDescent="0.35">
      <c r="A109" s="35" t="s">
        <v>186</v>
      </c>
      <c r="B109" s="36" t="s">
        <v>187</v>
      </c>
      <c r="C109" s="40">
        <f>C62</f>
        <v>0.08</v>
      </c>
      <c r="D109" s="131">
        <f>C109*D110</f>
        <v>3086.69</v>
      </c>
    </row>
    <row r="110" spans="1:4" outlineLevel="2" x14ac:dyDescent="0.35">
      <c r="A110" s="35" t="s">
        <v>188</v>
      </c>
      <c r="B110" s="41" t="s">
        <v>116</v>
      </c>
      <c r="C110" s="42" t="s">
        <v>152</v>
      </c>
      <c r="D110" s="132">
        <f>D95</f>
        <v>38583.68</v>
      </c>
    </row>
    <row r="111" spans="1:4" outlineLevel="1" x14ac:dyDescent="0.35">
      <c r="A111" s="644" t="s">
        <v>11</v>
      </c>
      <c r="B111" s="645"/>
      <c r="C111" s="67">
        <f>'SR - ASG int'!C111</f>
        <v>0.94450000000000001</v>
      </c>
      <c r="D111" s="116">
        <f>IF(C111&gt;1,D102+D108,(D102+D108)*C111)</f>
        <v>1891.93</v>
      </c>
    </row>
    <row r="112" spans="1:4" outlineLevel="1" x14ac:dyDescent="0.35">
      <c r="A112" s="658"/>
      <c r="B112" s="659"/>
      <c r="C112" s="659"/>
      <c r="D112" s="660"/>
    </row>
    <row r="113" spans="1:4" outlineLevel="1" x14ac:dyDescent="0.35">
      <c r="A113" s="64" t="s">
        <v>204</v>
      </c>
      <c r="B113" s="109" t="s">
        <v>205</v>
      </c>
      <c r="C113" s="110" t="s">
        <v>44</v>
      </c>
      <c r="D113" s="110" t="s">
        <v>35</v>
      </c>
    </row>
    <row r="114" spans="1:4" outlineLevel="2" x14ac:dyDescent="0.35">
      <c r="A114" s="111" t="s">
        <v>36</v>
      </c>
      <c r="B114" s="31" t="s">
        <v>206</v>
      </c>
      <c r="C114" s="34">
        <f>IF(C12&gt;60,(D39/12*(C12-60))/C12/D39,IF(C12&gt;48,(D39/12*(C12-48))/C12/D39,IF(C12&gt;36,(D39/12*(C12-36))/C12/D39,IF(C12&gt;24,(D39/12*(C12-24))/C12/D39,IF(C12&gt;12,((D39/12*(C12-12))/C12/D39),1/12)))))</f>
        <v>3.3300000000000003E-2</v>
      </c>
      <c r="D114" s="133">
        <f>C114*D39</f>
        <v>58.31</v>
      </c>
    </row>
    <row r="115" spans="1:4" outlineLevel="2" x14ac:dyDescent="0.35">
      <c r="A115" s="111" t="s">
        <v>16</v>
      </c>
      <c r="B115" s="48" t="s">
        <v>207</v>
      </c>
      <c r="C115" s="34">
        <f>C114/3</f>
        <v>1.11E-2</v>
      </c>
      <c r="D115" s="134">
        <f>C115*D39</f>
        <v>19.440000000000001</v>
      </c>
    </row>
    <row r="116" spans="1:4" outlineLevel="1" x14ac:dyDescent="0.35">
      <c r="A116" s="644" t="s">
        <v>11</v>
      </c>
      <c r="B116" s="645"/>
      <c r="C116" s="30">
        <f>C114+C115</f>
        <v>4.4400000000000002E-2</v>
      </c>
      <c r="D116" s="116">
        <f>SUM(D114:D115)</f>
        <v>77.75</v>
      </c>
    </row>
    <row r="117" spans="1:4" outlineLevel="1" x14ac:dyDescent="0.35">
      <c r="A117" s="658"/>
      <c r="B117" s="659"/>
      <c r="C117" s="659"/>
      <c r="D117" s="660"/>
    </row>
    <row r="118" spans="1:4" outlineLevel="1" x14ac:dyDescent="0.35">
      <c r="A118" s="661" t="s">
        <v>208</v>
      </c>
      <c r="B118" s="662"/>
      <c r="C118" s="110" t="s">
        <v>44</v>
      </c>
      <c r="D118" s="110" t="s">
        <v>35</v>
      </c>
    </row>
    <row r="119" spans="1:4" outlineLevel="1" x14ac:dyDescent="0.35">
      <c r="A119" s="111" t="s">
        <v>174</v>
      </c>
      <c r="B119" s="31" t="s">
        <v>175</v>
      </c>
      <c r="C119" s="34">
        <f>C99</f>
        <v>5.5500000000000001E-2</v>
      </c>
      <c r="D119" s="104">
        <f>D99</f>
        <v>205.48</v>
      </c>
    </row>
    <row r="120" spans="1:4" outlineLevel="1" x14ac:dyDescent="0.35">
      <c r="A120" s="113" t="s">
        <v>195</v>
      </c>
      <c r="B120" s="31" t="s">
        <v>196</v>
      </c>
      <c r="C120" s="49">
        <f>C111</f>
        <v>0.94450000000000001</v>
      </c>
      <c r="D120" s="104">
        <f>D111</f>
        <v>1891.93</v>
      </c>
    </row>
    <row r="121" spans="1:4" outlineLevel="1" x14ac:dyDescent="0.35">
      <c r="A121" s="679" t="s">
        <v>209</v>
      </c>
      <c r="B121" s="679"/>
      <c r="C121" s="679"/>
      <c r="D121" s="135">
        <f>D119+D120</f>
        <v>2097.41</v>
      </c>
    </row>
    <row r="122" spans="1:4" outlineLevel="1" x14ac:dyDescent="0.35">
      <c r="A122" s="675" t="s">
        <v>210</v>
      </c>
      <c r="B122" s="676"/>
      <c r="C122" s="68">
        <f>'SR - ASG int'!C122</f>
        <v>0.63570000000000004</v>
      </c>
      <c r="D122" s="58">
        <f>C122*D121</f>
        <v>1333.32</v>
      </c>
    </row>
    <row r="123" spans="1:4" outlineLevel="1" x14ac:dyDescent="0.35">
      <c r="A123" s="675" t="s">
        <v>211</v>
      </c>
      <c r="B123" s="676"/>
      <c r="C123" s="68">
        <f>'SR - ASG int'!C123</f>
        <v>1.0999999999999999E-2</v>
      </c>
      <c r="D123" s="58">
        <f>(D50+(D116/2))*-C123</f>
        <v>-2.0299999999999998</v>
      </c>
    </row>
    <row r="124" spans="1:4" outlineLevel="1" x14ac:dyDescent="0.35">
      <c r="A124" s="677" t="s">
        <v>212</v>
      </c>
      <c r="B124" s="678"/>
      <c r="C124" s="72">
        <f>1/C12</f>
        <v>0.05</v>
      </c>
      <c r="D124" s="59">
        <f>(D122+D123)*C124</f>
        <v>66.56</v>
      </c>
    </row>
    <row r="125" spans="1:4" outlineLevel="1" x14ac:dyDescent="0.35">
      <c r="A125" s="113" t="s">
        <v>204</v>
      </c>
      <c r="B125" s="31" t="s">
        <v>213</v>
      </c>
      <c r="C125" s="49"/>
      <c r="D125" s="124">
        <f>D116</f>
        <v>77.75</v>
      </c>
    </row>
    <row r="126" spans="1:4" x14ac:dyDescent="0.35">
      <c r="A126" s="644" t="s">
        <v>11</v>
      </c>
      <c r="B126" s="645"/>
      <c r="C126" s="30"/>
      <c r="D126" s="136">
        <f>D124+D125</f>
        <v>144.31</v>
      </c>
    </row>
    <row r="127" spans="1:4" x14ac:dyDescent="0.35">
      <c r="A127" s="646"/>
      <c r="B127" s="647"/>
      <c r="C127" s="647"/>
      <c r="D127" s="648"/>
    </row>
    <row r="128" spans="1:4" x14ac:dyDescent="0.35">
      <c r="A128" s="663" t="s">
        <v>64</v>
      </c>
      <c r="B128" s="664"/>
      <c r="C128" s="664"/>
      <c r="D128" s="665"/>
    </row>
    <row r="129" spans="1:4" outlineLevel="1" x14ac:dyDescent="0.35">
      <c r="A129" s="658"/>
      <c r="B129" s="659"/>
      <c r="C129" s="659"/>
      <c r="D129" s="660"/>
    </row>
    <row r="130" spans="1:4" outlineLevel="1" x14ac:dyDescent="0.35">
      <c r="A130" s="110" t="s">
        <v>65</v>
      </c>
      <c r="B130" s="117" t="s">
        <v>214</v>
      </c>
      <c r="C130" s="30" t="s">
        <v>44</v>
      </c>
      <c r="D130" s="110" t="s">
        <v>35</v>
      </c>
    </row>
    <row r="131" spans="1:4" outlineLevel="2" x14ac:dyDescent="0.35">
      <c r="A131" s="137" t="s">
        <v>36</v>
      </c>
      <c r="B131" s="89" t="s">
        <v>66</v>
      </c>
      <c r="C131" s="50">
        <f>IF(C12&gt;60,5/C12,IF(C12&gt;48,4/C12,IF(C12&gt;36,3/C12,IF(C12&gt;24,2/C12,IF(C12&gt;12,1/C12,0)))))</f>
        <v>0.05</v>
      </c>
      <c r="D131" s="133">
        <f>SUM(D132:D136)</f>
        <v>113.14</v>
      </c>
    </row>
    <row r="132" spans="1:4" outlineLevel="3" x14ac:dyDescent="0.35">
      <c r="A132" s="138" t="s">
        <v>215</v>
      </c>
      <c r="B132" s="90" t="s">
        <v>216</v>
      </c>
      <c r="C132" s="139">
        <f>D39</f>
        <v>1751.15</v>
      </c>
      <c r="D132" s="140">
        <f>$C$131*(D39)-($C$131*(D39)*C137/3)</f>
        <v>87.56</v>
      </c>
    </row>
    <row r="133" spans="1:4" outlineLevel="3" x14ac:dyDescent="0.35">
      <c r="A133" s="138" t="s">
        <v>217</v>
      </c>
      <c r="B133" s="90" t="s">
        <v>218</v>
      </c>
      <c r="C133" s="139">
        <f>(D50)</f>
        <v>145.87</v>
      </c>
      <c r="D133" s="140">
        <f>$C$131*C133-($C$131*C133*C137/3)</f>
        <v>7.29</v>
      </c>
    </row>
    <row r="134" spans="1:4" outlineLevel="3" x14ac:dyDescent="0.35">
      <c r="A134" s="138" t="s">
        <v>219</v>
      </c>
      <c r="B134" s="90" t="s">
        <v>220</v>
      </c>
      <c r="C134" s="141">
        <f>(D39/12)+(D51*IF(C12&gt;60,((C12-60)*(1/60))+1,IF(C12&gt;48,((C12-48)*(1/48))+1,IF(C12&gt;36,((C12-36)*(1/36))+1,IF(C12&gt;24,((C12-24)*(1/24))+1,IF(C12&gt;12,((C12-12)*(1/12))+1,1))))))</f>
        <v>194.66</v>
      </c>
      <c r="D134" s="140">
        <f>$C$131*C134-($C$131*C134*C137/3)</f>
        <v>9.73</v>
      </c>
    </row>
    <row r="135" spans="1:4" outlineLevel="3" x14ac:dyDescent="0.35">
      <c r="A135" s="138" t="s">
        <v>221</v>
      </c>
      <c r="B135" s="90" t="s">
        <v>222</v>
      </c>
      <c r="C135" s="91">
        <f>C63</f>
        <v>0.36799999999999999</v>
      </c>
      <c r="D135" s="140">
        <f>SUM(D132:D134)*C131</f>
        <v>5.23</v>
      </c>
    </row>
    <row r="136" spans="1:4" outlineLevel="3" x14ac:dyDescent="0.35">
      <c r="A136" s="138" t="s">
        <v>223</v>
      </c>
      <c r="B136" s="90" t="s">
        <v>224</v>
      </c>
      <c r="C136" s="141">
        <f>D124</f>
        <v>66.56</v>
      </c>
      <c r="D136" s="140">
        <f>C136*C131</f>
        <v>3.33</v>
      </c>
    </row>
    <row r="137" spans="1:4" outlineLevel="2" x14ac:dyDescent="0.35">
      <c r="A137" s="111" t="s">
        <v>16</v>
      </c>
      <c r="B137" s="31" t="s">
        <v>225</v>
      </c>
      <c r="C137" s="92">
        <v>0</v>
      </c>
      <c r="D137" s="124">
        <f>$C$131*(D39)*(C137/3)</f>
        <v>0</v>
      </c>
    </row>
    <row r="138" spans="1:4" outlineLevel="1" x14ac:dyDescent="0.35">
      <c r="A138" s="644" t="s">
        <v>226</v>
      </c>
      <c r="B138" s="645"/>
      <c r="C138" s="30">
        <f>C131+(D137/D39)</f>
        <v>0.05</v>
      </c>
      <c r="D138" s="116">
        <f>SUM(D131:D137)</f>
        <v>226.28</v>
      </c>
    </row>
    <row r="139" spans="1:4" outlineLevel="1" x14ac:dyDescent="0.35">
      <c r="A139" s="658"/>
      <c r="B139" s="659"/>
      <c r="C139" s="659"/>
      <c r="D139" s="660"/>
    </row>
    <row r="140" spans="1:4" outlineLevel="2" x14ac:dyDescent="0.35">
      <c r="A140" s="668" t="s">
        <v>227</v>
      </c>
      <c r="B140" s="142" t="s">
        <v>190</v>
      </c>
      <c r="C140" s="93">
        <v>220</v>
      </c>
      <c r="D140" s="143">
        <f>D39</f>
        <v>1751.15</v>
      </c>
    </row>
    <row r="141" spans="1:4" outlineLevel="2" x14ac:dyDescent="0.35">
      <c r="A141" s="669"/>
      <c r="B141" s="142" t="s">
        <v>228</v>
      </c>
      <c r="C141" s="50">
        <f>(1+(1/3)+1)/12</f>
        <v>0.19439999999999999</v>
      </c>
      <c r="D141" s="144">
        <f>D140*C141</f>
        <v>340.42</v>
      </c>
    </row>
    <row r="142" spans="1:4" outlineLevel="2" x14ac:dyDescent="0.35">
      <c r="A142" s="669"/>
      <c r="B142" s="142" t="s">
        <v>229</v>
      </c>
      <c r="C142" s="50">
        <f>C63</f>
        <v>0.36799999999999999</v>
      </c>
      <c r="D142" s="144">
        <f>(D140+D141)*C142</f>
        <v>769.7</v>
      </c>
    </row>
    <row r="143" spans="1:4" outlineLevel="2" x14ac:dyDescent="0.35">
      <c r="A143" s="669"/>
      <c r="B143" s="142" t="s">
        <v>230</v>
      </c>
      <c r="C143" s="50">
        <f>D143/D140</f>
        <v>0.2878</v>
      </c>
      <c r="D143" s="144">
        <f>D77</f>
        <v>504.04</v>
      </c>
    </row>
    <row r="144" spans="1:4" outlineLevel="2" x14ac:dyDescent="0.35">
      <c r="A144" s="670"/>
      <c r="B144" s="145" t="s">
        <v>231</v>
      </c>
      <c r="C144" s="50">
        <f>D144/D140</f>
        <v>3.7999999999999999E-2</v>
      </c>
      <c r="D144" s="144">
        <f>D124</f>
        <v>66.56</v>
      </c>
    </row>
    <row r="145" spans="1:4" outlineLevel="2" x14ac:dyDescent="0.35">
      <c r="A145" s="671" t="s">
        <v>232</v>
      </c>
      <c r="B145" s="672"/>
      <c r="C145" s="94">
        <f>D145/D140</f>
        <v>1.9598</v>
      </c>
      <c r="D145" s="146">
        <f>SUM(D140:D144)</f>
        <v>3431.87</v>
      </c>
    </row>
    <row r="146" spans="1:4" outlineLevel="2" x14ac:dyDescent="0.35">
      <c r="A146" s="673"/>
      <c r="B146" s="673"/>
      <c r="C146" s="673"/>
      <c r="D146" s="674"/>
    </row>
    <row r="147" spans="1:4" outlineLevel="1" x14ac:dyDescent="0.35">
      <c r="A147" s="110" t="s">
        <v>233</v>
      </c>
      <c r="B147" s="117" t="s">
        <v>234</v>
      </c>
      <c r="C147" s="30" t="s">
        <v>44</v>
      </c>
      <c r="D147" s="110" t="s">
        <v>35</v>
      </c>
    </row>
    <row r="148" spans="1:4" outlineLevel="2" x14ac:dyDescent="0.35">
      <c r="A148" s="111" t="s">
        <v>16</v>
      </c>
      <c r="B148" s="31" t="s">
        <v>118</v>
      </c>
      <c r="C148" s="77">
        <f>5/252</f>
        <v>1.9800000000000002E-2</v>
      </c>
      <c r="D148" s="133">
        <f>C148*$D$145</f>
        <v>67.95</v>
      </c>
    </row>
    <row r="149" spans="1:4" outlineLevel="2" x14ac:dyDescent="0.35">
      <c r="A149" s="111" t="s">
        <v>17</v>
      </c>
      <c r="B149" s="31" t="s">
        <v>119</v>
      </c>
      <c r="C149" s="77">
        <f>1.383/252</f>
        <v>5.4999999999999997E-3</v>
      </c>
      <c r="D149" s="133">
        <f>C149*$D$145</f>
        <v>18.88</v>
      </c>
    </row>
    <row r="150" spans="1:4" outlineLevel="2" x14ac:dyDescent="0.35">
      <c r="A150" s="111" t="s">
        <v>19</v>
      </c>
      <c r="B150" s="31" t="s">
        <v>117</v>
      </c>
      <c r="C150" s="77">
        <f>1.3892/252</f>
        <v>5.4999999999999997E-3</v>
      </c>
      <c r="D150" s="133">
        <f t="shared" ref="D150:D153" si="1">C150*$D$145</f>
        <v>18.88</v>
      </c>
    </row>
    <row r="151" spans="1:4" outlineLevel="2" x14ac:dyDescent="0.35">
      <c r="A151" s="111" t="s">
        <v>22</v>
      </c>
      <c r="B151" s="31" t="s">
        <v>67</v>
      </c>
      <c r="C151" s="77">
        <f>0.65/252</f>
        <v>2.5999999999999999E-3</v>
      </c>
      <c r="D151" s="133">
        <f t="shared" si="1"/>
        <v>8.92</v>
      </c>
    </row>
    <row r="152" spans="1:4" outlineLevel="2" x14ac:dyDescent="0.35">
      <c r="A152" s="111" t="s">
        <v>24</v>
      </c>
      <c r="B152" s="31" t="s">
        <v>68</v>
      </c>
      <c r="C152" s="77">
        <f>0.5052/252</f>
        <v>2E-3</v>
      </c>
      <c r="D152" s="133">
        <f t="shared" si="1"/>
        <v>6.86</v>
      </c>
    </row>
    <row r="153" spans="1:4" outlineLevel="2" x14ac:dyDescent="0.35">
      <c r="A153" s="111" t="s">
        <v>36</v>
      </c>
      <c r="B153" s="61" t="s">
        <v>235</v>
      </c>
      <c r="C153" s="69">
        <f>0.2/252</f>
        <v>8.0000000000000004E-4</v>
      </c>
      <c r="D153" s="133">
        <f t="shared" si="1"/>
        <v>2.75</v>
      </c>
    </row>
    <row r="154" spans="1:4" outlineLevel="1" x14ac:dyDescent="0.35">
      <c r="A154" s="644" t="s">
        <v>226</v>
      </c>
      <c r="B154" s="645"/>
      <c r="C154" s="30">
        <f>SUM(C148:C153)</f>
        <v>3.6200000000000003E-2</v>
      </c>
      <c r="D154" s="116">
        <f>SUM(D148:D153)</f>
        <v>124.24</v>
      </c>
    </row>
    <row r="155" spans="1:4" outlineLevel="1" x14ac:dyDescent="0.35">
      <c r="A155" s="658"/>
      <c r="B155" s="659"/>
      <c r="C155" s="659"/>
      <c r="D155" s="660"/>
    </row>
    <row r="156" spans="1:4" outlineLevel="1" x14ac:dyDescent="0.35">
      <c r="A156" s="661" t="s">
        <v>236</v>
      </c>
      <c r="B156" s="666"/>
      <c r="C156" s="30" t="s">
        <v>237</v>
      </c>
      <c r="D156" s="110" t="s">
        <v>35</v>
      </c>
    </row>
    <row r="157" spans="1:4" outlineLevel="2" x14ac:dyDescent="0.4">
      <c r="A157" s="667" t="s">
        <v>238</v>
      </c>
      <c r="B157" s="142" t="s">
        <v>239</v>
      </c>
      <c r="C157" s="95">
        <f>C153</f>
        <v>8.0000000000000004E-4</v>
      </c>
      <c r="D157" s="147">
        <f>C157*-D140</f>
        <v>-1.4</v>
      </c>
    </row>
    <row r="158" spans="1:4" outlineLevel="2" x14ac:dyDescent="0.4">
      <c r="A158" s="667"/>
      <c r="B158" s="148" t="s">
        <v>240</v>
      </c>
      <c r="C158" s="96">
        <v>0</v>
      </c>
      <c r="D158" s="149">
        <f>C158*-(D140/220/24*5)</f>
        <v>0</v>
      </c>
    </row>
    <row r="159" spans="1:4" outlineLevel="2" x14ac:dyDescent="0.4">
      <c r="A159" s="667"/>
      <c r="B159" s="148" t="s">
        <v>241</v>
      </c>
      <c r="C159" s="96">
        <v>0</v>
      </c>
      <c r="D159" s="149">
        <f>C159*-D141</f>
        <v>0</v>
      </c>
    </row>
    <row r="160" spans="1:4" outlineLevel="2" x14ac:dyDescent="0.4">
      <c r="A160" s="667"/>
      <c r="B160" s="142" t="s">
        <v>242</v>
      </c>
      <c r="C160" s="95">
        <f>C154</f>
        <v>3.6200000000000003E-2</v>
      </c>
      <c r="D160" s="147">
        <f>C160*-D66</f>
        <v>-3.1</v>
      </c>
    </row>
    <row r="161" spans="1:4" outlineLevel="2" x14ac:dyDescent="0.4">
      <c r="A161" s="667"/>
      <c r="B161" s="142" t="s">
        <v>243</v>
      </c>
      <c r="C161" s="95">
        <f>C154</f>
        <v>3.6200000000000003E-2</v>
      </c>
      <c r="D161" s="147">
        <f>C161*-D69</f>
        <v>-10.5</v>
      </c>
    </row>
    <row r="162" spans="1:4" outlineLevel="2" x14ac:dyDescent="0.4">
      <c r="A162" s="667"/>
      <c r="B162" s="145" t="s">
        <v>244</v>
      </c>
      <c r="C162" s="95">
        <f>C153</f>
        <v>8.0000000000000004E-4</v>
      </c>
      <c r="D162" s="147">
        <f>C162*-D74</f>
        <v>-0.02</v>
      </c>
    </row>
    <row r="163" spans="1:4" outlineLevel="2" x14ac:dyDescent="0.35">
      <c r="A163" s="667"/>
      <c r="B163" s="145" t="s">
        <v>245</v>
      </c>
      <c r="C163" s="97">
        <f>C152</f>
        <v>2E-3</v>
      </c>
      <c r="D163" s="133">
        <f>C163*-SUM(D55:D61)</f>
        <v>-1.1100000000000001</v>
      </c>
    </row>
    <row r="164" spans="1:4" outlineLevel="2" x14ac:dyDescent="0.4">
      <c r="A164" s="667"/>
      <c r="B164" s="142" t="s">
        <v>246</v>
      </c>
      <c r="C164" s="95">
        <f>C153</f>
        <v>8.0000000000000004E-4</v>
      </c>
      <c r="D164" s="147">
        <f>C164*-D142</f>
        <v>-0.62</v>
      </c>
    </row>
    <row r="165" spans="1:4" outlineLevel="1" x14ac:dyDescent="0.35">
      <c r="A165" s="644" t="s">
        <v>247</v>
      </c>
      <c r="B165" s="645"/>
      <c r="C165" s="30">
        <f>D165/D140</f>
        <v>-9.5999999999999992E-3</v>
      </c>
      <c r="D165" s="116">
        <f>SUM(D157:D164)</f>
        <v>-16.75</v>
      </c>
    </row>
    <row r="166" spans="1:4" outlineLevel="1" x14ac:dyDescent="0.35">
      <c r="A166" s="658"/>
      <c r="B166" s="659"/>
      <c r="C166" s="659"/>
      <c r="D166" s="660"/>
    </row>
    <row r="167" spans="1:4" outlineLevel="1" x14ac:dyDescent="0.35">
      <c r="A167" s="644" t="s">
        <v>248</v>
      </c>
      <c r="B167" s="645"/>
      <c r="C167" s="30">
        <f>D167/D140</f>
        <v>6.1400000000000003E-2</v>
      </c>
      <c r="D167" s="116">
        <f>D154+D165</f>
        <v>107.49</v>
      </c>
    </row>
    <row r="168" spans="1:4" outlineLevel="1" x14ac:dyDescent="0.35">
      <c r="A168" s="658"/>
      <c r="B168" s="659"/>
      <c r="C168" s="659"/>
      <c r="D168" s="660"/>
    </row>
    <row r="169" spans="1:4" outlineLevel="1" x14ac:dyDescent="0.35">
      <c r="A169" s="661" t="s">
        <v>249</v>
      </c>
      <c r="B169" s="662"/>
      <c r="C169" s="110" t="s">
        <v>44</v>
      </c>
      <c r="D169" s="110" t="s">
        <v>35</v>
      </c>
    </row>
    <row r="170" spans="1:4" outlineLevel="1" x14ac:dyDescent="0.35">
      <c r="A170" s="111" t="s">
        <v>65</v>
      </c>
      <c r="B170" s="31" t="s">
        <v>214</v>
      </c>
      <c r="C170" s="34"/>
      <c r="D170" s="150">
        <f>D138</f>
        <v>226.28</v>
      </c>
    </row>
    <row r="171" spans="1:4" outlineLevel="1" x14ac:dyDescent="0.35">
      <c r="A171" s="111" t="s">
        <v>233</v>
      </c>
      <c r="B171" s="31" t="s">
        <v>234</v>
      </c>
      <c r="C171" s="34"/>
      <c r="D171" s="150">
        <f>D167</f>
        <v>107.49</v>
      </c>
    </row>
    <row r="172" spans="1:4" x14ac:dyDescent="0.35">
      <c r="A172" s="644" t="s">
        <v>11</v>
      </c>
      <c r="B172" s="657"/>
      <c r="C172" s="645"/>
      <c r="D172" s="119">
        <f>SUM(D170:D171)</f>
        <v>333.77</v>
      </c>
    </row>
    <row r="173" spans="1:4" x14ac:dyDescent="0.35">
      <c r="A173" s="658"/>
      <c r="B173" s="659"/>
      <c r="C173" s="659"/>
      <c r="D173" s="660"/>
    </row>
    <row r="174" spans="1:4" x14ac:dyDescent="0.35">
      <c r="A174" s="663" t="s">
        <v>69</v>
      </c>
      <c r="B174" s="664"/>
      <c r="C174" s="664"/>
      <c r="D174" s="665"/>
    </row>
    <row r="175" spans="1:4" outlineLevel="1" x14ac:dyDescent="0.35">
      <c r="A175" s="658"/>
      <c r="B175" s="659"/>
      <c r="C175" s="659"/>
      <c r="D175" s="660"/>
    </row>
    <row r="176" spans="1:4" outlineLevel="1" x14ac:dyDescent="0.35">
      <c r="A176" s="64">
        <v>5</v>
      </c>
      <c r="B176" s="644" t="s">
        <v>250</v>
      </c>
      <c r="C176" s="645"/>
      <c r="D176" s="110" t="s">
        <v>35</v>
      </c>
    </row>
    <row r="177" spans="1:4" outlineLevel="1" x14ac:dyDescent="0.35">
      <c r="A177" s="111" t="s">
        <v>36</v>
      </c>
      <c r="B177" s="655" t="s">
        <v>343</v>
      </c>
      <c r="C177" s="656"/>
      <c r="D177" s="133">
        <f>INSUMOS!H12</f>
        <v>25.07</v>
      </c>
    </row>
    <row r="178" spans="1:4" outlineLevel="1" x14ac:dyDescent="0.35">
      <c r="A178" s="111" t="s">
        <v>16</v>
      </c>
      <c r="B178" s="655" t="s">
        <v>369</v>
      </c>
      <c r="C178" s="656"/>
      <c r="D178" s="151">
        <f>INSUMOS!H33</f>
        <v>23.01</v>
      </c>
    </row>
    <row r="179" spans="1:4" outlineLevel="1" x14ac:dyDescent="0.35">
      <c r="A179" s="111" t="s">
        <v>17</v>
      </c>
      <c r="B179" s="640" t="s">
        <v>326</v>
      </c>
      <c r="C179" s="642"/>
      <c r="D179" s="151">
        <f>MATERIAIS!J125</f>
        <v>440.15</v>
      </c>
    </row>
    <row r="180" spans="1:4" outlineLevel="1" x14ac:dyDescent="0.35">
      <c r="A180" s="111" t="s">
        <v>19</v>
      </c>
      <c r="B180" s="640" t="s">
        <v>325</v>
      </c>
      <c r="C180" s="642"/>
      <c r="D180" s="151">
        <f>EQUIPAMENTOS!K134</f>
        <v>17.73</v>
      </c>
    </row>
    <row r="181" spans="1:4" outlineLevel="1" x14ac:dyDescent="0.35">
      <c r="A181" s="111" t="s">
        <v>22</v>
      </c>
      <c r="B181" s="705" t="s">
        <v>39</v>
      </c>
      <c r="C181" s="706"/>
      <c r="D181" s="130">
        <v>0</v>
      </c>
    </row>
    <row r="182" spans="1:4" outlineLevel="1" x14ac:dyDescent="0.35">
      <c r="A182" s="111" t="s">
        <v>24</v>
      </c>
      <c r="B182" s="705" t="s">
        <v>39</v>
      </c>
      <c r="C182" s="706"/>
      <c r="D182" s="130">
        <v>0</v>
      </c>
    </row>
    <row r="183" spans="1:4" x14ac:dyDescent="0.35">
      <c r="A183" s="644" t="s">
        <v>11</v>
      </c>
      <c r="B183" s="657"/>
      <c r="C183" s="645"/>
      <c r="D183" s="116">
        <f>SUM(D177:D181)</f>
        <v>505.96</v>
      </c>
    </row>
    <row r="184" spans="1:4" x14ac:dyDescent="0.35">
      <c r="A184" s="646"/>
      <c r="B184" s="647"/>
      <c r="C184" s="647"/>
      <c r="D184" s="648"/>
    </row>
    <row r="185" spans="1:4" x14ac:dyDescent="0.35">
      <c r="A185" s="649" t="s">
        <v>70</v>
      </c>
      <c r="B185" s="649"/>
      <c r="C185" s="649"/>
      <c r="D185" s="152">
        <f>D39+D83+D126+D172+D183</f>
        <v>4123.2</v>
      </c>
    </row>
    <row r="186" spans="1:4" x14ac:dyDescent="0.35">
      <c r="A186" s="650"/>
      <c r="B186" s="650"/>
      <c r="C186" s="650"/>
      <c r="D186" s="650"/>
    </row>
    <row r="187" spans="1:4" x14ac:dyDescent="0.35">
      <c r="A187" s="651" t="s">
        <v>71</v>
      </c>
      <c r="B187" s="651"/>
      <c r="C187" s="651"/>
      <c r="D187" s="651"/>
    </row>
    <row r="188" spans="1:4" outlineLevel="1" x14ac:dyDescent="0.35">
      <c r="A188" s="652"/>
      <c r="B188" s="653"/>
      <c r="C188" s="653"/>
      <c r="D188" s="654"/>
    </row>
    <row r="189" spans="1:4" outlineLevel="1" x14ac:dyDescent="0.35">
      <c r="A189" s="64">
        <v>6</v>
      </c>
      <c r="B189" s="117" t="s">
        <v>72</v>
      </c>
      <c r="C189" s="110" t="s">
        <v>44</v>
      </c>
      <c r="D189" s="110" t="s">
        <v>35</v>
      </c>
    </row>
    <row r="190" spans="1:4" outlineLevel="1" x14ac:dyDescent="0.35">
      <c r="A190" s="111" t="s">
        <v>36</v>
      </c>
      <c r="B190" s="31" t="s">
        <v>73</v>
      </c>
      <c r="C190" s="70">
        <f>'SR - ASG int'!C189</f>
        <v>2.6499999999999999E-2</v>
      </c>
      <c r="D190" s="105">
        <f>C190*D185</f>
        <v>109.26</v>
      </c>
    </row>
    <row r="191" spans="1:4" outlineLevel="1" x14ac:dyDescent="0.35">
      <c r="A191" s="638" t="s">
        <v>1</v>
      </c>
      <c r="B191" s="639"/>
      <c r="C191" s="643"/>
      <c r="D191" s="105">
        <f>D185+D190</f>
        <v>4232.46</v>
      </c>
    </row>
    <row r="192" spans="1:4" outlineLevel="1" x14ac:dyDescent="0.35">
      <c r="A192" s="111" t="s">
        <v>16</v>
      </c>
      <c r="B192" s="31" t="s">
        <v>74</v>
      </c>
      <c r="C192" s="70">
        <f>'SR - ASG int'!C191</f>
        <v>0.1087</v>
      </c>
      <c r="D192" s="105">
        <f>C192*D191</f>
        <v>460.07</v>
      </c>
    </row>
    <row r="193" spans="1:4" outlineLevel="1" x14ac:dyDescent="0.35">
      <c r="A193" s="638" t="s">
        <v>1</v>
      </c>
      <c r="B193" s="639"/>
      <c r="C193" s="639"/>
      <c r="D193" s="105">
        <f>D192+D191</f>
        <v>4692.53</v>
      </c>
    </row>
    <row r="194" spans="1:4" outlineLevel="1" x14ac:dyDescent="0.35">
      <c r="A194" s="111" t="s">
        <v>17</v>
      </c>
      <c r="B194" s="640" t="s">
        <v>75</v>
      </c>
      <c r="C194" s="641"/>
      <c r="D194" s="642"/>
    </row>
    <row r="195" spans="1:4" outlineLevel="1" x14ac:dyDescent="0.35">
      <c r="A195" s="153"/>
      <c r="B195" s="63" t="s">
        <v>76</v>
      </c>
      <c r="C195" s="70">
        <v>6.4999999999999997E-3</v>
      </c>
      <c r="D195" s="105">
        <f>(D193/(1-C198)*C195)</f>
        <v>32.67</v>
      </c>
    </row>
    <row r="196" spans="1:4" outlineLevel="1" x14ac:dyDescent="0.35">
      <c r="A196" s="153"/>
      <c r="B196" s="63" t="s">
        <v>77</v>
      </c>
      <c r="C196" s="70">
        <v>0.03</v>
      </c>
      <c r="D196" s="105">
        <f>(D193/(1-C198)*C196)</f>
        <v>150.80000000000001</v>
      </c>
    </row>
    <row r="197" spans="1:4" outlineLevel="1" x14ac:dyDescent="0.35">
      <c r="A197" s="153"/>
      <c r="B197" s="63" t="s">
        <v>297</v>
      </c>
      <c r="C197" s="51">
        <v>0.03</v>
      </c>
      <c r="D197" s="105">
        <f>(D193/(1-C198)*C197)</f>
        <v>150.80000000000001</v>
      </c>
    </row>
    <row r="198" spans="1:4" outlineLevel="1" x14ac:dyDescent="0.35">
      <c r="A198" s="638" t="s">
        <v>78</v>
      </c>
      <c r="B198" s="643"/>
      <c r="C198" s="52">
        <f>SUM(C195:C197)</f>
        <v>6.6500000000000004E-2</v>
      </c>
      <c r="D198" s="105">
        <f>SUM(D195:D197)</f>
        <v>334.27</v>
      </c>
    </row>
    <row r="199" spans="1:4" x14ac:dyDescent="0.35">
      <c r="A199" s="644" t="s">
        <v>11</v>
      </c>
      <c r="B199" s="645"/>
      <c r="C199" s="53">
        <f>(1+C190)*(1+C192)*(1/(1-C198))-1</f>
        <v>0.21920000000000001</v>
      </c>
      <c r="D199" s="108">
        <f>SUM(D198+D190+D192)</f>
        <v>903.6</v>
      </c>
    </row>
    <row r="200" spans="1:4" x14ac:dyDescent="0.35">
      <c r="A200" s="646"/>
      <c r="B200" s="647"/>
      <c r="C200" s="647"/>
      <c r="D200" s="648"/>
    </row>
    <row r="201" spans="1:4" x14ac:dyDescent="0.35">
      <c r="A201" s="634" t="s">
        <v>79</v>
      </c>
      <c r="B201" s="635"/>
      <c r="C201" s="636"/>
      <c r="D201" s="54" t="s">
        <v>35</v>
      </c>
    </row>
    <row r="202" spans="1:4" x14ac:dyDescent="0.35">
      <c r="A202" s="632" t="s">
        <v>80</v>
      </c>
      <c r="B202" s="637"/>
      <c r="C202" s="637"/>
      <c r="D202" s="633"/>
    </row>
    <row r="203" spans="1:4" x14ac:dyDescent="0.35">
      <c r="A203" s="65" t="s">
        <v>36</v>
      </c>
      <c r="B203" s="632" t="s">
        <v>81</v>
      </c>
      <c r="C203" s="633"/>
      <c r="D203" s="104">
        <f>D39</f>
        <v>1751.15</v>
      </c>
    </row>
    <row r="204" spans="1:4" x14ac:dyDescent="0.35">
      <c r="A204" s="65" t="s">
        <v>16</v>
      </c>
      <c r="B204" s="632" t="s">
        <v>82</v>
      </c>
      <c r="C204" s="633"/>
      <c r="D204" s="104">
        <f>D83</f>
        <v>1388.01</v>
      </c>
    </row>
    <row r="205" spans="1:4" x14ac:dyDescent="0.35">
      <c r="A205" s="65" t="s">
        <v>17</v>
      </c>
      <c r="B205" s="632" t="s">
        <v>83</v>
      </c>
      <c r="C205" s="633"/>
      <c r="D205" s="104">
        <f>D126</f>
        <v>144.31</v>
      </c>
    </row>
    <row r="206" spans="1:4" x14ac:dyDescent="0.35">
      <c r="A206" s="65" t="s">
        <v>19</v>
      </c>
      <c r="B206" s="632" t="s">
        <v>84</v>
      </c>
      <c r="C206" s="633"/>
      <c r="D206" s="104">
        <f>D172</f>
        <v>333.77</v>
      </c>
    </row>
    <row r="207" spans="1:4" x14ac:dyDescent="0.35">
      <c r="A207" s="65" t="s">
        <v>22</v>
      </c>
      <c r="B207" s="632" t="s">
        <v>85</v>
      </c>
      <c r="C207" s="633"/>
      <c r="D207" s="104">
        <f>D183</f>
        <v>505.96</v>
      </c>
    </row>
    <row r="208" spans="1:4" x14ac:dyDescent="0.4">
      <c r="A208" s="629" t="s">
        <v>86</v>
      </c>
      <c r="B208" s="630"/>
      <c r="C208" s="631"/>
      <c r="D208" s="104">
        <f>SUM(D203:D207)</f>
        <v>4123.2</v>
      </c>
    </row>
    <row r="209" spans="1:4" x14ac:dyDescent="0.35">
      <c r="A209" s="65" t="s">
        <v>87</v>
      </c>
      <c r="B209" s="632" t="s">
        <v>88</v>
      </c>
      <c r="C209" s="633"/>
      <c r="D209" s="104">
        <f>D199</f>
        <v>903.6</v>
      </c>
    </row>
    <row r="210" spans="1:4" x14ac:dyDescent="0.35">
      <c r="A210" s="634" t="s">
        <v>89</v>
      </c>
      <c r="B210" s="635"/>
      <c r="C210" s="636"/>
      <c r="D210" s="154">
        <f xml:space="preserve"> D208+D209</f>
        <v>5026.8</v>
      </c>
    </row>
    <row r="211" spans="1:4" x14ac:dyDescent="0.4">
      <c r="A211" s="24"/>
      <c r="B211" s="24"/>
      <c r="C211" s="24"/>
      <c r="D211" s="24"/>
    </row>
    <row r="212" spans="1:4" thickBot="1" x14ac:dyDescent="0.4">
      <c r="A212" s="17"/>
      <c r="B212" s="17"/>
      <c r="C212" s="17"/>
      <c r="D212" s="17"/>
    </row>
    <row r="213" spans="1:4" x14ac:dyDescent="0.35">
      <c r="A213" s="702" t="s">
        <v>274</v>
      </c>
      <c r="B213" s="703"/>
      <c r="C213" s="703"/>
      <c r="D213" s="704"/>
    </row>
    <row r="214" spans="1:4" ht="30" x14ac:dyDescent="0.35">
      <c r="A214" s="170" t="s">
        <v>275</v>
      </c>
      <c r="B214" s="171" t="s">
        <v>278</v>
      </c>
      <c r="C214" s="172" t="s">
        <v>276</v>
      </c>
      <c r="D214" s="173" t="s">
        <v>277</v>
      </c>
    </row>
    <row r="215" spans="1:4" ht="15.5" thickBot="1" x14ac:dyDescent="0.4">
      <c r="A215" s="174">
        <v>1</v>
      </c>
      <c r="B215" s="178">
        <f>1/(C11/A215)</f>
        <v>3.35542771E-5</v>
      </c>
      <c r="C215" s="175">
        <f>D210</f>
        <v>5026.8</v>
      </c>
      <c r="D215" s="181">
        <f>C215*B215</f>
        <v>0.16867064000000001</v>
      </c>
    </row>
  </sheetData>
  <mergeCells count="108">
    <mergeCell ref="B206:C206"/>
    <mergeCell ref="B207:C207"/>
    <mergeCell ref="A208:C208"/>
    <mergeCell ref="B209:C209"/>
    <mergeCell ref="A210:C210"/>
    <mergeCell ref="A213:D213"/>
    <mergeCell ref="A200:D200"/>
    <mergeCell ref="A201:C201"/>
    <mergeCell ref="A202:D202"/>
    <mergeCell ref="B203:C203"/>
    <mergeCell ref="B204:C204"/>
    <mergeCell ref="B205:C205"/>
    <mergeCell ref="A188:D188"/>
    <mergeCell ref="A191:C191"/>
    <mergeCell ref="A193:C193"/>
    <mergeCell ref="B194:D194"/>
    <mergeCell ref="A198:B198"/>
    <mergeCell ref="A199:B199"/>
    <mergeCell ref="B182:C182"/>
    <mergeCell ref="A183:C183"/>
    <mergeCell ref="A184:D184"/>
    <mergeCell ref="A185:C185"/>
    <mergeCell ref="A186:D186"/>
    <mergeCell ref="A187:D187"/>
    <mergeCell ref="B176:C176"/>
    <mergeCell ref="B177:C177"/>
    <mergeCell ref="B178:C178"/>
    <mergeCell ref="B179:C179"/>
    <mergeCell ref="B180:C180"/>
    <mergeCell ref="B181:C181"/>
    <mergeCell ref="A168:D168"/>
    <mergeCell ref="A169:B169"/>
    <mergeCell ref="A172:C172"/>
    <mergeCell ref="A173:D173"/>
    <mergeCell ref="A174:D174"/>
    <mergeCell ref="A175:D175"/>
    <mergeCell ref="A155:D155"/>
    <mergeCell ref="A156:B156"/>
    <mergeCell ref="A157:A164"/>
    <mergeCell ref="A165:B165"/>
    <mergeCell ref="A166:D166"/>
    <mergeCell ref="A167:B167"/>
    <mergeCell ref="A138:B138"/>
    <mergeCell ref="A139:D139"/>
    <mergeCell ref="A140:A144"/>
    <mergeCell ref="A145:B145"/>
    <mergeCell ref="A146:D146"/>
    <mergeCell ref="A154:B154"/>
    <mergeCell ref="A123:B123"/>
    <mergeCell ref="A124:B124"/>
    <mergeCell ref="A126:B126"/>
    <mergeCell ref="A127:D127"/>
    <mergeCell ref="A128:D128"/>
    <mergeCell ref="A129:D129"/>
    <mergeCell ref="A112:D112"/>
    <mergeCell ref="A116:B116"/>
    <mergeCell ref="A117:D117"/>
    <mergeCell ref="A118:B118"/>
    <mergeCell ref="A121:C121"/>
    <mergeCell ref="A122:B122"/>
    <mergeCell ref="A84:D84"/>
    <mergeCell ref="A85:D85"/>
    <mergeCell ref="A86:D86"/>
    <mergeCell ref="A99:B99"/>
    <mergeCell ref="A100:D100"/>
    <mergeCell ref="A111:B111"/>
    <mergeCell ref="A63:B63"/>
    <mergeCell ref="A64:D64"/>
    <mergeCell ref="A77:C77"/>
    <mergeCell ref="A78:D78"/>
    <mergeCell ref="A79:B79"/>
    <mergeCell ref="A83:C83"/>
    <mergeCell ref="A45:B45"/>
    <mergeCell ref="A46:D46"/>
    <mergeCell ref="A47:D47"/>
    <mergeCell ref="A48:D48"/>
    <mergeCell ref="A52:B52"/>
    <mergeCell ref="A53:D53"/>
    <mergeCell ref="A23:D23"/>
    <mergeCell ref="A24:D24"/>
    <mergeCell ref="A25:D25"/>
    <mergeCell ref="B26:C26"/>
    <mergeCell ref="A39:C39"/>
    <mergeCell ref="A40:D40"/>
    <mergeCell ref="C17:D17"/>
    <mergeCell ref="A18:D18"/>
    <mergeCell ref="B19:C19"/>
    <mergeCell ref="B20:C20"/>
    <mergeCell ref="B21:C21"/>
    <mergeCell ref="B22:C22"/>
    <mergeCell ref="C11:D11"/>
    <mergeCell ref="C12:D12"/>
    <mergeCell ref="A13:D13"/>
    <mergeCell ref="A14:D14"/>
    <mergeCell ref="A15:D15"/>
    <mergeCell ref="C16:D16"/>
    <mergeCell ref="A5:D5"/>
    <mergeCell ref="C6:D6"/>
    <mergeCell ref="C7:D7"/>
    <mergeCell ref="C8:D8"/>
    <mergeCell ref="C9:D9"/>
    <mergeCell ref="C10:D10"/>
    <mergeCell ref="A1:D1"/>
    <mergeCell ref="A2:B2"/>
    <mergeCell ref="C2:D2"/>
    <mergeCell ref="A3:B3"/>
    <mergeCell ref="C3:D3"/>
    <mergeCell ref="A4:D4"/>
  </mergeCells>
  <pageMargins left="0.51181102362204722" right="0.51181102362204722" top="0.78740157480314965" bottom="0.78740157480314965" header="0.31496062992125984" footer="0.31496062992125984"/>
  <pageSetup scale="21" orientation="portrait" horizontalDpi="30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F026AF-8877-4951-8034-05EEB12FCDD8}">
  <sheetPr codeName="Planilha16">
    <pageSetUpPr fitToPage="1"/>
  </sheetPr>
  <dimension ref="A1:D215"/>
  <sheetViews>
    <sheetView view="pageBreakPreview" topLeftCell="A180" zoomScale="85" zoomScaleNormal="85" zoomScaleSheetLayoutView="85" workbookViewId="0">
      <selection activeCell="C75" sqref="C75"/>
    </sheetView>
  </sheetViews>
  <sheetFormatPr defaultColWidth="9.1796875" defaultRowHeight="15" customHeight="1" outlineLevelRow="3" x14ac:dyDescent="0.35"/>
  <cols>
    <col min="1" max="1" width="16.7265625" customWidth="1"/>
    <col min="2" max="2" width="76.81640625" customWidth="1"/>
    <col min="3" max="3" width="22.81640625" customWidth="1"/>
    <col min="4" max="4" width="23.54296875" customWidth="1"/>
  </cols>
  <sheetData>
    <row r="1" spans="1:4" x14ac:dyDescent="0.35">
      <c r="A1" s="683" t="s">
        <v>6</v>
      </c>
      <c r="B1" s="683"/>
      <c r="C1" s="683"/>
      <c r="D1" s="683"/>
    </row>
    <row r="2" spans="1:4" x14ac:dyDescent="0.35">
      <c r="A2" s="684" t="s">
        <v>12</v>
      </c>
      <c r="B2" s="684"/>
      <c r="C2" s="685" t="s">
        <v>519</v>
      </c>
      <c r="D2" s="686"/>
    </row>
    <row r="3" spans="1:4" x14ac:dyDescent="0.35">
      <c r="A3" s="684" t="s">
        <v>13</v>
      </c>
      <c r="B3" s="684"/>
      <c r="C3" s="685" t="s">
        <v>520</v>
      </c>
      <c r="D3" s="686"/>
    </row>
    <row r="4" spans="1:4" x14ac:dyDescent="0.35">
      <c r="A4" s="687"/>
      <c r="B4" s="687"/>
      <c r="C4" s="687"/>
      <c r="D4" s="687"/>
    </row>
    <row r="5" spans="1:4" x14ac:dyDescent="0.35">
      <c r="A5" s="687" t="s">
        <v>14</v>
      </c>
      <c r="B5" s="687"/>
      <c r="C5" s="687"/>
      <c r="D5" s="687"/>
    </row>
    <row r="6" spans="1:4" x14ac:dyDescent="0.35">
      <c r="A6" s="65" t="s">
        <v>15</v>
      </c>
      <c r="B6" s="63" t="s">
        <v>5</v>
      </c>
      <c r="C6" s="707" t="s">
        <v>144</v>
      </c>
      <c r="D6" s="708"/>
    </row>
    <row r="7" spans="1:4" x14ac:dyDescent="0.35">
      <c r="A7" s="65" t="s">
        <v>16</v>
      </c>
      <c r="B7" s="63" t="s">
        <v>4</v>
      </c>
      <c r="C7" s="690" t="s">
        <v>505</v>
      </c>
      <c r="D7" s="690"/>
    </row>
    <row r="8" spans="1:4" x14ac:dyDescent="0.35">
      <c r="A8" s="25" t="s">
        <v>17</v>
      </c>
      <c r="B8" s="26" t="s">
        <v>18</v>
      </c>
      <c r="C8" s="722" t="s">
        <v>521</v>
      </c>
      <c r="D8" s="723"/>
    </row>
    <row r="9" spans="1:4" x14ac:dyDescent="0.35">
      <c r="A9" s="65" t="s">
        <v>19</v>
      </c>
      <c r="B9" s="63" t="s">
        <v>20</v>
      </c>
      <c r="C9" s="700" t="s">
        <v>21</v>
      </c>
      <c r="D9" s="701"/>
    </row>
    <row r="10" spans="1:4" x14ac:dyDescent="0.35">
      <c r="A10" s="65" t="s">
        <v>22</v>
      </c>
      <c r="B10" s="63" t="s">
        <v>23</v>
      </c>
      <c r="C10" s="700" t="s">
        <v>262</v>
      </c>
      <c r="D10" s="701"/>
    </row>
    <row r="11" spans="1:4" x14ac:dyDescent="0.35">
      <c r="A11" s="65" t="s">
        <v>24</v>
      </c>
      <c r="B11" s="63" t="s">
        <v>251</v>
      </c>
      <c r="C11" s="691">
        <f>Resumo!F17/2</f>
        <v>364.02</v>
      </c>
      <c r="D11" s="692"/>
    </row>
    <row r="12" spans="1:4" x14ac:dyDescent="0.35">
      <c r="A12" s="65" t="s">
        <v>25</v>
      </c>
      <c r="B12" s="63" t="s">
        <v>26</v>
      </c>
      <c r="C12" s="693">
        <f>Resumo!I5</f>
        <v>20</v>
      </c>
      <c r="D12" s="694"/>
    </row>
    <row r="13" spans="1:4" x14ac:dyDescent="0.35">
      <c r="A13" s="695"/>
      <c r="B13" s="696"/>
      <c r="C13" s="696"/>
      <c r="D13" s="696"/>
    </row>
    <row r="14" spans="1:4" x14ac:dyDescent="0.35">
      <c r="A14" s="697" t="s">
        <v>27</v>
      </c>
      <c r="B14" s="698"/>
      <c r="C14" s="698"/>
      <c r="D14" s="699"/>
    </row>
    <row r="15" spans="1:4" x14ac:dyDescent="0.35">
      <c r="A15" s="690" t="s">
        <v>28</v>
      </c>
      <c r="B15" s="690"/>
      <c r="C15" s="690"/>
      <c r="D15" s="690"/>
    </row>
    <row r="16" spans="1:4" x14ac:dyDescent="0.35">
      <c r="A16" s="65">
        <v>1</v>
      </c>
      <c r="B16" s="63" t="s">
        <v>29</v>
      </c>
      <c r="C16" s="700" t="s">
        <v>266</v>
      </c>
      <c r="D16" s="701" t="s">
        <v>0</v>
      </c>
    </row>
    <row r="17" spans="1:4" x14ac:dyDescent="0.35">
      <c r="A17" s="65">
        <v>2</v>
      </c>
      <c r="B17" s="27" t="s">
        <v>30</v>
      </c>
      <c r="C17" s="688" t="s">
        <v>263</v>
      </c>
      <c r="D17" s="689"/>
    </row>
    <row r="18" spans="1:4" x14ac:dyDescent="0.35">
      <c r="A18" s="690" t="s">
        <v>31</v>
      </c>
      <c r="B18" s="690"/>
      <c r="C18" s="690"/>
      <c r="D18" s="690"/>
    </row>
    <row r="19" spans="1:4" x14ac:dyDescent="0.4">
      <c r="A19" s="65">
        <v>3</v>
      </c>
      <c r="B19" s="632" t="s">
        <v>3</v>
      </c>
      <c r="C19" s="633"/>
      <c r="D19" s="103">
        <v>1325</v>
      </c>
    </row>
    <row r="20" spans="1:4" x14ac:dyDescent="0.4">
      <c r="A20" s="65">
        <v>4</v>
      </c>
      <c r="B20" s="632" t="s">
        <v>252</v>
      </c>
      <c r="C20" s="633"/>
      <c r="D20" s="155">
        <v>220</v>
      </c>
    </row>
    <row r="21" spans="1:4" x14ac:dyDescent="0.35">
      <c r="A21" s="65">
        <v>5</v>
      </c>
      <c r="B21" s="632" t="s">
        <v>32</v>
      </c>
      <c r="C21" s="633"/>
      <c r="D21" s="73" t="s">
        <v>267</v>
      </c>
    </row>
    <row r="22" spans="1:4" x14ac:dyDescent="0.35">
      <c r="A22" s="65">
        <v>6</v>
      </c>
      <c r="B22" s="632" t="s">
        <v>2</v>
      </c>
      <c r="C22" s="633"/>
      <c r="D22" s="74">
        <v>44562</v>
      </c>
    </row>
    <row r="23" spans="1:4" x14ac:dyDescent="0.35">
      <c r="A23" s="700"/>
      <c r="B23" s="711"/>
      <c r="C23" s="711"/>
      <c r="D23" s="701"/>
    </row>
    <row r="24" spans="1:4" x14ac:dyDescent="0.35">
      <c r="A24" s="712" t="s">
        <v>33</v>
      </c>
      <c r="B24" s="712"/>
      <c r="C24" s="712"/>
      <c r="D24" s="712"/>
    </row>
    <row r="25" spans="1:4" x14ac:dyDescent="0.35">
      <c r="A25" s="713"/>
      <c r="B25" s="714"/>
      <c r="C25" s="714"/>
      <c r="D25" s="694"/>
    </row>
    <row r="26" spans="1:4" x14ac:dyDescent="0.35">
      <c r="A26" s="64">
        <v>1</v>
      </c>
      <c r="B26" s="634" t="s">
        <v>34</v>
      </c>
      <c r="C26" s="636"/>
      <c r="D26" s="64" t="s">
        <v>35</v>
      </c>
    </row>
    <row r="27" spans="1:4" outlineLevel="1" x14ac:dyDescent="0.35">
      <c r="A27" s="65" t="s">
        <v>36</v>
      </c>
      <c r="B27" s="63" t="s">
        <v>146</v>
      </c>
      <c r="C27" s="71">
        <f>'SR - ASG int'!C27</f>
        <v>220</v>
      </c>
      <c r="D27" s="104">
        <f>D19/220*C27</f>
        <v>1325</v>
      </c>
    </row>
    <row r="28" spans="1:4" outlineLevel="1" x14ac:dyDescent="0.35">
      <c r="A28" s="65" t="s">
        <v>16</v>
      </c>
      <c r="B28" s="63" t="s">
        <v>37</v>
      </c>
      <c r="C28" s="28">
        <v>0.1</v>
      </c>
      <c r="D28" s="104">
        <f>D27*10%</f>
        <v>132.5</v>
      </c>
    </row>
    <row r="29" spans="1:4" outlineLevel="1" x14ac:dyDescent="0.35">
      <c r="A29" s="65" t="s">
        <v>17</v>
      </c>
      <c r="B29" s="63" t="s">
        <v>38</v>
      </c>
      <c r="C29" s="28">
        <v>0.2</v>
      </c>
      <c r="D29" s="104">
        <v>0</v>
      </c>
    </row>
    <row r="30" spans="1:4" outlineLevel="1" x14ac:dyDescent="0.35">
      <c r="A30" s="65" t="s">
        <v>19</v>
      </c>
      <c r="B30" s="63" t="s">
        <v>148</v>
      </c>
      <c r="C30" s="156">
        <v>0</v>
      </c>
      <c r="D30" s="105">
        <f>SUM(D31:D32)</f>
        <v>0</v>
      </c>
    </row>
    <row r="31" spans="1:4" outlineLevel="2" x14ac:dyDescent="0.35">
      <c r="A31" s="78" t="s">
        <v>111</v>
      </c>
      <c r="B31" s="63" t="s">
        <v>149</v>
      </c>
      <c r="C31" s="79">
        <v>0.2</v>
      </c>
      <c r="D31" s="105">
        <f>(SUM(D27:D29)/C27)*C31*15*C30</f>
        <v>0</v>
      </c>
    </row>
    <row r="32" spans="1:4" outlineLevel="2" x14ac:dyDescent="0.35">
      <c r="A32" s="78" t="s">
        <v>112</v>
      </c>
      <c r="B32" s="63" t="s">
        <v>150</v>
      </c>
      <c r="C32" s="80">
        <f>C30*(60/52.5)/8</f>
        <v>0</v>
      </c>
      <c r="D32" s="105">
        <f>(SUM(D27:D29)/C27)*(C31)*15*C32</f>
        <v>0</v>
      </c>
    </row>
    <row r="33" spans="1:4" outlineLevel="1" x14ac:dyDescent="0.35">
      <c r="A33" s="65" t="s">
        <v>22</v>
      </c>
      <c r="B33" s="63" t="s">
        <v>151</v>
      </c>
      <c r="C33" s="28" t="s">
        <v>152</v>
      </c>
      <c r="D33" s="1">
        <f>SUM(D34:D37)</f>
        <v>0</v>
      </c>
    </row>
    <row r="34" spans="1:4" outlineLevel="2" x14ac:dyDescent="0.35">
      <c r="A34" s="81" t="s">
        <v>153</v>
      </c>
      <c r="B34" s="82" t="s">
        <v>154</v>
      </c>
      <c r="C34" s="83">
        <v>0</v>
      </c>
      <c r="D34" s="106">
        <f>(SUM($D$27:$D$29)/$C$27)*C34*1.5</f>
        <v>0</v>
      </c>
    </row>
    <row r="35" spans="1:4" outlineLevel="2" x14ac:dyDescent="0.35">
      <c r="A35" s="81" t="s">
        <v>155</v>
      </c>
      <c r="B35" s="84" t="s">
        <v>156</v>
      </c>
      <c r="C35" s="85">
        <v>0</v>
      </c>
      <c r="D35" s="106">
        <f>(SUM($D$27:$D$29)/$C$27)*C35*((60/52.5)*1.2*1.5)</f>
        <v>0</v>
      </c>
    </row>
    <row r="36" spans="1:4" outlineLevel="2" x14ac:dyDescent="0.35">
      <c r="A36" s="81" t="s">
        <v>157</v>
      </c>
      <c r="B36" s="82" t="s">
        <v>158</v>
      </c>
      <c r="C36" s="86">
        <f>C34*0.1429</f>
        <v>0</v>
      </c>
      <c r="D36" s="106">
        <f>(SUM($D$27:$D$29)/$C$27)*C36*2</f>
        <v>0</v>
      </c>
    </row>
    <row r="37" spans="1:4" outlineLevel="2" x14ac:dyDescent="0.35">
      <c r="A37" s="81" t="s">
        <v>159</v>
      </c>
      <c r="B37" s="82" t="s">
        <v>160</v>
      </c>
      <c r="C37" s="86">
        <f>C34*0.1429</f>
        <v>0</v>
      </c>
      <c r="D37" s="106">
        <f>(SUM($D$27:$D$29)/$C$27)*C37*((60/52.5)*1.2*2)</f>
        <v>0</v>
      </c>
    </row>
    <row r="38" spans="1:4" outlineLevel="1" x14ac:dyDescent="0.35">
      <c r="A38" s="65" t="s">
        <v>24</v>
      </c>
      <c r="B38" s="55" t="s">
        <v>39</v>
      </c>
      <c r="C38" s="56">
        <v>0</v>
      </c>
      <c r="D38" s="107">
        <v>0</v>
      </c>
    </row>
    <row r="39" spans="1:4" x14ac:dyDescent="0.35">
      <c r="A39" s="634" t="s">
        <v>40</v>
      </c>
      <c r="B39" s="635"/>
      <c r="C39" s="636"/>
      <c r="D39" s="108">
        <f>SUM(D27:D30,D33,D38)</f>
        <v>1457.5</v>
      </c>
    </row>
    <row r="40" spans="1:4" x14ac:dyDescent="0.35">
      <c r="A40" s="650"/>
      <c r="B40" s="650"/>
      <c r="C40" s="650"/>
      <c r="D40" s="650"/>
    </row>
    <row r="41" spans="1:4" outlineLevel="1" x14ac:dyDescent="0.35">
      <c r="A41" s="87" t="s">
        <v>161</v>
      </c>
      <c r="B41" s="109" t="s">
        <v>162</v>
      </c>
      <c r="C41" s="110" t="s">
        <v>163</v>
      </c>
      <c r="D41" s="110" t="s">
        <v>35</v>
      </c>
    </row>
    <row r="42" spans="1:4" outlineLevel="1" x14ac:dyDescent="0.35">
      <c r="A42" s="111" t="s">
        <v>36</v>
      </c>
      <c r="B42" s="27" t="s">
        <v>164</v>
      </c>
      <c r="C42" s="88">
        <v>0</v>
      </c>
      <c r="D42" s="112">
        <f>(SUM(D27)/$C$27)*C42*1.5</f>
        <v>0</v>
      </c>
    </row>
    <row r="43" spans="1:4" outlineLevel="1" x14ac:dyDescent="0.35">
      <c r="A43" s="113" t="s">
        <v>17</v>
      </c>
      <c r="B43" s="114" t="s">
        <v>165</v>
      </c>
      <c r="C43" s="115">
        <v>0</v>
      </c>
      <c r="D43" s="104">
        <f>C43*177</f>
        <v>0</v>
      </c>
    </row>
    <row r="44" spans="1:4" outlineLevel="1" x14ac:dyDescent="0.35">
      <c r="A44" s="65" t="s">
        <v>19</v>
      </c>
      <c r="B44" s="55" t="s">
        <v>39</v>
      </c>
      <c r="C44" s="56">
        <v>0</v>
      </c>
      <c r="D44" s="107">
        <v>0</v>
      </c>
    </row>
    <row r="45" spans="1:4" x14ac:dyDescent="0.35">
      <c r="A45" s="644" t="s">
        <v>166</v>
      </c>
      <c r="B45" s="645"/>
      <c r="C45" s="30">
        <f>D45/D39</f>
        <v>0</v>
      </c>
      <c r="D45" s="116">
        <f>SUM(D42:D43)</f>
        <v>0</v>
      </c>
    </row>
    <row r="46" spans="1:4" x14ac:dyDescent="0.35">
      <c r="A46" s="646"/>
      <c r="B46" s="647"/>
      <c r="C46" s="647"/>
      <c r="D46" s="648"/>
    </row>
    <row r="47" spans="1:4" x14ac:dyDescent="0.35">
      <c r="A47" s="663" t="s">
        <v>41</v>
      </c>
      <c r="B47" s="664"/>
      <c r="C47" s="664"/>
      <c r="D47" s="665"/>
    </row>
    <row r="48" spans="1:4" outlineLevel="1" x14ac:dyDescent="0.35">
      <c r="A48" s="646"/>
      <c r="B48" s="647"/>
      <c r="C48" s="647"/>
      <c r="D48" s="648"/>
    </row>
    <row r="49" spans="1:4" outlineLevel="1" x14ac:dyDescent="0.35">
      <c r="A49" s="110" t="s">
        <v>42</v>
      </c>
      <c r="B49" s="109" t="s">
        <v>43</v>
      </c>
      <c r="C49" s="110" t="s">
        <v>44</v>
      </c>
      <c r="D49" s="110" t="s">
        <v>35</v>
      </c>
    </row>
    <row r="50" spans="1:4" outlineLevel="2" x14ac:dyDescent="0.35">
      <c r="A50" s="113" t="s">
        <v>36</v>
      </c>
      <c r="B50" s="114" t="s">
        <v>45</v>
      </c>
      <c r="C50" s="29">
        <f>1/12</f>
        <v>8.3299999999999999E-2</v>
      </c>
      <c r="D50" s="104">
        <f>C50*D39</f>
        <v>121.41</v>
      </c>
    </row>
    <row r="51" spans="1:4" outlineLevel="2" x14ac:dyDescent="0.35">
      <c r="A51" s="113" t="s">
        <v>16</v>
      </c>
      <c r="B51" s="114" t="s">
        <v>113</v>
      </c>
      <c r="C51" s="29">
        <f>IF(C12&gt;60,(1/C12/3)*5,IF(C12&gt;48,(1/C12/3)*4,IF(C12&gt;36,(1/C12/3)*3,IF(C12&gt;24,(1/C12/3)*2,IF(C12&gt;12,(1/C12/3)*1,0)))))</f>
        <v>1.67E-2</v>
      </c>
      <c r="D51" s="104">
        <f>C51*D39</f>
        <v>24.34</v>
      </c>
    </row>
    <row r="52" spans="1:4" outlineLevel="1" x14ac:dyDescent="0.35">
      <c r="A52" s="644" t="s">
        <v>11</v>
      </c>
      <c r="B52" s="645"/>
      <c r="C52" s="30">
        <f>SUM(C50:C51)</f>
        <v>0.1</v>
      </c>
      <c r="D52" s="116">
        <f>SUM(D50:D51)</f>
        <v>145.75</v>
      </c>
    </row>
    <row r="53" spans="1:4" outlineLevel="1" x14ac:dyDescent="0.35">
      <c r="A53" s="646"/>
      <c r="B53" s="647"/>
      <c r="C53" s="647"/>
      <c r="D53" s="648"/>
    </row>
    <row r="54" spans="1:4" outlineLevel="1" x14ac:dyDescent="0.35">
      <c r="A54" s="110" t="s">
        <v>46</v>
      </c>
      <c r="B54" s="117" t="s">
        <v>47</v>
      </c>
      <c r="C54" s="110" t="s">
        <v>44</v>
      </c>
      <c r="D54" s="118" t="s">
        <v>35</v>
      </c>
    </row>
    <row r="55" spans="1:4" outlineLevel="2" x14ac:dyDescent="0.35">
      <c r="A55" s="111" t="s">
        <v>36</v>
      </c>
      <c r="B55" s="31" t="s">
        <v>48</v>
      </c>
      <c r="C55" s="32">
        <v>0.2</v>
      </c>
      <c r="D55" s="104">
        <f t="shared" ref="D55:D62" si="0">C55*($D$39+$D$52)</f>
        <v>320.64999999999998</v>
      </c>
    </row>
    <row r="56" spans="1:4" outlineLevel="2" x14ac:dyDescent="0.35">
      <c r="A56" s="111" t="s">
        <v>16</v>
      </c>
      <c r="B56" s="31" t="s">
        <v>49</v>
      </c>
      <c r="C56" s="32">
        <v>2.5000000000000001E-2</v>
      </c>
      <c r="D56" s="104">
        <f t="shared" si="0"/>
        <v>40.08</v>
      </c>
    </row>
    <row r="57" spans="1:4" outlineLevel="2" x14ac:dyDescent="0.35">
      <c r="A57" s="111" t="s">
        <v>17</v>
      </c>
      <c r="B57" s="31" t="s">
        <v>167</v>
      </c>
      <c r="C57" s="66">
        <v>0.03</v>
      </c>
      <c r="D57" s="104">
        <f t="shared" si="0"/>
        <v>48.1</v>
      </c>
    </row>
    <row r="58" spans="1:4" outlineLevel="2" x14ac:dyDescent="0.35">
      <c r="A58" s="111" t="s">
        <v>19</v>
      </c>
      <c r="B58" s="31" t="s">
        <v>168</v>
      </c>
      <c r="C58" s="32">
        <v>1.4999999999999999E-2</v>
      </c>
      <c r="D58" s="104">
        <f t="shared" si="0"/>
        <v>24.05</v>
      </c>
    </row>
    <row r="59" spans="1:4" outlineLevel="2" x14ac:dyDescent="0.35">
      <c r="A59" s="111" t="s">
        <v>22</v>
      </c>
      <c r="B59" s="31" t="s">
        <v>169</v>
      </c>
      <c r="C59" s="32">
        <v>0.01</v>
      </c>
      <c r="D59" s="104">
        <f t="shared" si="0"/>
        <v>16.03</v>
      </c>
    </row>
    <row r="60" spans="1:4" outlineLevel="2" x14ac:dyDescent="0.35">
      <c r="A60" s="111" t="s">
        <v>24</v>
      </c>
      <c r="B60" s="31" t="s">
        <v>50</v>
      </c>
      <c r="C60" s="32">
        <v>6.0000000000000001E-3</v>
      </c>
      <c r="D60" s="104">
        <f t="shared" si="0"/>
        <v>9.6199999999999992</v>
      </c>
    </row>
    <row r="61" spans="1:4" outlineLevel="2" x14ac:dyDescent="0.35">
      <c r="A61" s="111" t="s">
        <v>25</v>
      </c>
      <c r="B61" s="31" t="s">
        <v>51</v>
      </c>
      <c r="C61" s="32">
        <v>2E-3</v>
      </c>
      <c r="D61" s="104">
        <f t="shared" si="0"/>
        <v>3.21</v>
      </c>
    </row>
    <row r="62" spans="1:4" outlineLevel="2" x14ac:dyDescent="0.35">
      <c r="A62" s="111" t="s">
        <v>52</v>
      </c>
      <c r="B62" s="31" t="s">
        <v>53</v>
      </c>
      <c r="C62" s="32">
        <v>0.08</v>
      </c>
      <c r="D62" s="104">
        <f t="shared" si="0"/>
        <v>128.26</v>
      </c>
    </row>
    <row r="63" spans="1:4" outlineLevel="1" x14ac:dyDescent="0.35">
      <c r="A63" s="644" t="s">
        <v>11</v>
      </c>
      <c r="B63" s="645"/>
      <c r="C63" s="33">
        <f>SUM(C55:C62)</f>
        <v>0.36799999999999999</v>
      </c>
      <c r="D63" s="119">
        <f>SUM(D55:D62)</f>
        <v>590</v>
      </c>
    </row>
    <row r="64" spans="1:4" outlineLevel="1" x14ac:dyDescent="0.35">
      <c r="A64" s="646"/>
      <c r="B64" s="647"/>
      <c r="C64" s="647"/>
      <c r="D64" s="648"/>
    </row>
    <row r="65" spans="1:4" outlineLevel="1" x14ac:dyDescent="0.35">
      <c r="A65" s="110" t="s">
        <v>54</v>
      </c>
      <c r="B65" s="117" t="s">
        <v>55</v>
      </c>
      <c r="C65" s="110" t="s">
        <v>56</v>
      </c>
      <c r="D65" s="110" t="s">
        <v>35</v>
      </c>
    </row>
    <row r="66" spans="1:4" outlineLevel="2" x14ac:dyDescent="0.35">
      <c r="A66" s="111" t="s">
        <v>36</v>
      </c>
      <c r="B66" s="31" t="s">
        <v>57</v>
      </c>
      <c r="C66" s="120">
        <v>0</v>
      </c>
      <c r="D66" s="121">
        <f>IF(D67+D68&gt;0,(D67+D68),0)</f>
        <v>0</v>
      </c>
    </row>
    <row r="67" spans="1:4" outlineLevel="3" x14ac:dyDescent="0.35">
      <c r="A67" s="122" t="s">
        <v>110</v>
      </c>
      <c r="B67" s="31" t="s">
        <v>170</v>
      </c>
      <c r="C67" s="123">
        <v>22</v>
      </c>
      <c r="D67" s="124">
        <f>C66*C67*2</f>
        <v>0</v>
      </c>
    </row>
    <row r="68" spans="1:4" outlineLevel="3" x14ac:dyDescent="0.35">
      <c r="A68" s="122" t="s">
        <v>114</v>
      </c>
      <c r="B68" s="31" t="s">
        <v>171</v>
      </c>
      <c r="C68" s="125">
        <v>0.06</v>
      </c>
      <c r="D68" s="124">
        <f>-D27*C68</f>
        <v>-79.5</v>
      </c>
    </row>
    <row r="69" spans="1:4" outlineLevel="2" x14ac:dyDescent="0.35">
      <c r="A69" s="111" t="s">
        <v>16</v>
      </c>
      <c r="B69" s="31" t="s">
        <v>58</v>
      </c>
      <c r="C69" s="383">
        <f>290/22</f>
        <v>13.2</v>
      </c>
      <c r="D69" s="121">
        <f>D70+D71</f>
        <v>290.39999999999998</v>
      </c>
    </row>
    <row r="70" spans="1:4" outlineLevel="3" x14ac:dyDescent="0.35">
      <c r="A70" s="122" t="s">
        <v>90</v>
      </c>
      <c r="B70" s="31" t="s">
        <v>172</v>
      </c>
      <c r="C70" s="123">
        <v>22</v>
      </c>
      <c r="D70" s="124">
        <f>C69*C70</f>
        <v>290.39999999999998</v>
      </c>
    </row>
    <row r="71" spans="1:4" outlineLevel="3" x14ac:dyDescent="0.35">
      <c r="A71" s="122" t="s">
        <v>115</v>
      </c>
      <c r="B71" s="31" t="s">
        <v>91</v>
      </c>
      <c r="C71" s="127">
        <f>'SR - ASG int'!C71</f>
        <v>0</v>
      </c>
      <c r="D71" s="124">
        <f>D70*C71</f>
        <v>0</v>
      </c>
    </row>
    <row r="72" spans="1:4" outlineLevel="2" x14ac:dyDescent="0.35">
      <c r="A72" s="111" t="s">
        <v>17</v>
      </c>
      <c r="B72" s="75" t="s">
        <v>291</v>
      </c>
      <c r="C72" s="126">
        <f>'SR - ASG int'!C72</f>
        <v>9.6999999999999993</v>
      </c>
      <c r="D72" s="129">
        <f>C72</f>
        <v>9.6999999999999993</v>
      </c>
    </row>
    <row r="73" spans="1:4" outlineLevel="2" x14ac:dyDescent="0.35">
      <c r="A73" s="111" t="s">
        <v>19</v>
      </c>
      <c r="B73" s="76" t="s">
        <v>293</v>
      </c>
      <c r="C73" s="126">
        <f>140*3</f>
        <v>420</v>
      </c>
      <c r="D73" s="129">
        <f>C73*C152</f>
        <v>0.84</v>
      </c>
    </row>
    <row r="74" spans="1:4" outlineLevel="2" x14ac:dyDescent="0.35">
      <c r="A74" s="111" t="s">
        <v>22</v>
      </c>
      <c r="B74" s="75" t="s">
        <v>292</v>
      </c>
      <c r="C74" s="126">
        <v>21</v>
      </c>
      <c r="D74" s="129">
        <f>C74</f>
        <v>21</v>
      </c>
    </row>
    <row r="75" spans="1:4" outlineLevel="2" x14ac:dyDescent="0.35">
      <c r="A75" s="111" t="s">
        <v>24</v>
      </c>
      <c r="B75" s="75" t="s">
        <v>554</v>
      </c>
      <c r="C75" s="128">
        <v>0</v>
      </c>
      <c r="D75" s="129">
        <v>97</v>
      </c>
    </row>
    <row r="76" spans="1:4" outlineLevel="2" x14ac:dyDescent="0.35">
      <c r="A76" s="111" t="s">
        <v>25</v>
      </c>
      <c r="B76" s="75" t="s">
        <v>39</v>
      </c>
      <c r="C76" s="126">
        <v>0</v>
      </c>
      <c r="D76" s="130">
        <f>C76</f>
        <v>0</v>
      </c>
    </row>
    <row r="77" spans="1:4" outlineLevel="1" x14ac:dyDescent="0.35">
      <c r="A77" s="644" t="s">
        <v>59</v>
      </c>
      <c r="B77" s="657"/>
      <c r="C77" s="645"/>
      <c r="D77" s="116">
        <f>SUM(D66,D69,D72:D76)</f>
        <v>418.94</v>
      </c>
    </row>
    <row r="78" spans="1:4" outlineLevel="1" x14ac:dyDescent="0.35">
      <c r="A78" s="646"/>
      <c r="B78" s="647"/>
      <c r="C78" s="647"/>
      <c r="D78" s="648"/>
    </row>
    <row r="79" spans="1:4" outlineLevel="1" x14ac:dyDescent="0.35">
      <c r="A79" s="661" t="s">
        <v>60</v>
      </c>
      <c r="B79" s="662"/>
      <c r="C79" s="110" t="s">
        <v>44</v>
      </c>
      <c r="D79" s="110" t="s">
        <v>35</v>
      </c>
    </row>
    <row r="80" spans="1:4" outlineLevel="1" x14ac:dyDescent="0.35">
      <c r="A80" s="111" t="s">
        <v>61</v>
      </c>
      <c r="B80" s="31" t="s">
        <v>43</v>
      </c>
      <c r="C80" s="34">
        <f>C52</f>
        <v>0.1</v>
      </c>
      <c r="D80" s="104">
        <f>D52</f>
        <v>145.75</v>
      </c>
    </row>
    <row r="81" spans="1:4" outlineLevel="1" x14ac:dyDescent="0.35">
      <c r="A81" s="111" t="s">
        <v>46</v>
      </c>
      <c r="B81" s="31" t="s">
        <v>47</v>
      </c>
      <c r="C81" s="34">
        <f>C63</f>
        <v>0.36799999999999999</v>
      </c>
      <c r="D81" s="104">
        <f>D63</f>
        <v>590</v>
      </c>
    </row>
    <row r="82" spans="1:4" outlineLevel="1" x14ac:dyDescent="0.35">
      <c r="A82" s="111" t="s">
        <v>62</v>
      </c>
      <c r="B82" s="31" t="s">
        <v>55</v>
      </c>
      <c r="C82" s="34">
        <f>D77/D39</f>
        <v>0.28739999999999999</v>
      </c>
      <c r="D82" s="104">
        <f>D77</f>
        <v>418.94</v>
      </c>
    </row>
    <row r="83" spans="1:4" x14ac:dyDescent="0.35">
      <c r="A83" s="644" t="s">
        <v>11</v>
      </c>
      <c r="B83" s="657"/>
      <c r="C83" s="645"/>
      <c r="D83" s="116">
        <f>SUM(D80:D82)</f>
        <v>1154.69</v>
      </c>
    </row>
    <row r="84" spans="1:4" x14ac:dyDescent="0.35">
      <c r="A84" s="646"/>
      <c r="B84" s="647"/>
      <c r="C84" s="647"/>
      <c r="D84" s="648"/>
    </row>
    <row r="85" spans="1:4" x14ac:dyDescent="0.35">
      <c r="A85" s="680" t="s">
        <v>173</v>
      </c>
      <c r="B85" s="681"/>
      <c r="C85" s="681"/>
      <c r="D85" s="682"/>
    </row>
    <row r="86" spans="1:4" outlineLevel="1" x14ac:dyDescent="0.35">
      <c r="A86" s="646"/>
      <c r="B86" s="647"/>
      <c r="C86" s="647"/>
      <c r="D86" s="648"/>
    </row>
    <row r="87" spans="1:4" outlineLevel="1" x14ac:dyDescent="0.35">
      <c r="A87" s="64" t="s">
        <v>174</v>
      </c>
      <c r="B87" s="109" t="s">
        <v>175</v>
      </c>
      <c r="C87" s="110" t="s">
        <v>44</v>
      </c>
      <c r="D87" s="110" t="s">
        <v>35</v>
      </c>
    </row>
    <row r="88" spans="1:4" outlineLevel="2" x14ac:dyDescent="0.35">
      <c r="A88" s="35" t="s">
        <v>36</v>
      </c>
      <c r="B88" s="36" t="s">
        <v>176</v>
      </c>
      <c r="C88" s="35" t="s">
        <v>152</v>
      </c>
      <c r="D88" s="131">
        <f>IF(C99&gt;1,SUM(D89:D92)*2,SUM(D89:D92))</f>
        <v>2053.86</v>
      </c>
    </row>
    <row r="89" spans="1:4" outlineLevel="3" x14ac:dyDescent="0.35">
      <c r="A89" s="37" t="s">
        <v>177</v>
      </c>
      <c r="B89" s="38" t="s">
        <v>178</v>
      </c>
      <c r="C89" s="35">
        <f>(IF(C12&gt;60,45,IF(C12&gt;48,42,IF(C12&gt;36,39,IF(C12&gt;24,36,IF(C12&gt;12,33,30)))))/30)</f>
        <v>1.1000000000000001</v>
      </c>
      <c r="D89" s="131">
        <f>D39*C89</f>
        <v>1603.25</v>
      </c>
    </row>
    <row r="90" spans="1:4" outlineLevel="3" x14ac:dyDescent="0.35">
      <c r="A90" s="37" t="s">
        <v>179</v>
      </c>
      <c r="B90" s="38" t="s">
        <v>180</v>
      </c>
      <c r="C90" s="29">
        <f>1/12</f>
        <v>8.3299999999999999E-2</v>
      </c>
      <c r="D90" s="131">
        <f>C90*D89</f>
        <v>133.55000000000001</v>
      </c>
    </row>
    <row r="91" spans="1:4" outlineLevel="3" x14ac:dyDescent="0.35">
      <c r="A91" s="37" t="s">
        <v>181</v>
      </c>
      <c r="B91" s="38" t="s">
        <v>182</v>
      </c>
      <c r="C91" s="29">
        <f>(1/12)+(1/12/3)</f>
        <v>0.1111</v>
      </c>
      <c r="D91" s="132">
        <f>C91*D89</f>
        <v>178.12</v>
      </c>
    </row>
    <row r="92" spans="1:4" outlineLevel="3" x14ac:dyDescent="0.35">
      <c r="A92" s="37" t="s">
        <v>183</v>
      </c>
      <c r="B92" s="38" t="s">
        <v>184</v>
      </c>
      <c r="C92" s="39">
        <v>0.08</v>
      </c>
      <c r="D92" s="131">
        <f>SUM(D89:D90)*C92</f>
        <v>138.94</v>
      </c>
    </row>
    <row r="93" spans="1:4" outlineLevel="2" x14ac:dyDescent="0.35">
      <c r="A93" s="35" t="s">
        <v>16</v>
      </c>
      <c r="B93" s="36" t="s">
        <v>185</v>
      </c>
      <c r="C93" s="40">
        <v>0.4</v>
      </c>
      <c r="D93" s="131">
        <f>C93*D94</f>
        <v>1027.6400000000001</v>
      </c>
    </row>
    <row r="94" spans="1:4" outlineLevel="3" x14ac:dyDescent="0.35">
      <c r="A94" s="35" t="s">
        <v>186</v>
      </c>
      <c r="B94" s="36" t="s">
        <v>187</v>
      </c>
      <c r="C94" s="40">
        <f>C62</f>
        <v>0.08</v>
      </c>
      <c r="D94" s="131">
        <f>C94*D95</f>
        <v>2569.09</v>
      </c>
    </row>
    <row r="95" spans="1:4" outlineLevel="3" x14ac:dyDescent="0.35">
      <c r="A95" s="35" t="s">
        <v>188</v>
      </c>
      <c r="B95" s="41" t="s">
        <v>116</v>
      </c>
      <c r="C95" s="42" t="s">
        <v>152</v>
      </c>
      <c r="D95" s="132">
        <f>SUM(D96:D98)</f>
        <v>32113.58</v>
      </c>
    </row>
    <row r="96" spans="1:4" outlineLevel="3" x14ac:dyDescent="0.35">
      <c r="A96" s="37" t="s">
        <v>189</v>
      </c>
      <c r="B96" s="38" t="s">
        <v>190</v>
      </c>
      <c r="C96" s="43">
        <f>C12-C98</f>
        <v>19</v>
      </c>
      <c r="D96" s="131">
        <f>D39*C96</f>
        <v>27692.5</v>
      </c>
    </row>
    <row r="97" spans="1:4" outlineLevel="3" x14ac:dyDescent="0.35">
      <c r="A97" s="37" t="s">
        <v>191</v>
      </c>
      <c r="B97" s="38" t="s">
        <v>192</v>
      </c>
      <c r="C97" s="44">
        <f>C12/12</f>
        <v>1.7</v>
      </c>
      <c r="D97" s="131">
        <f>D39*C97</f>
        <v>2477.75</v>
      </c>
    </row>
    <row r="98" spans="1:4" outlineLevel="3" x14ac:dyDescent="0.35">
      <c r="A98" s="37" t="s">
        <v>193</v>
      </c>
      <c r="B98" s="38" t="s">
        <v>194</v>
      </c>
      <c r="C98" s="42">
        <f>IF(C12&gt;60,5,IF(C12&gt;48,4,IF(C12&gt;36,3,IF(C12&gt;24,2,IF(C12&gt;12,1,0)))))</f>
        <v>1</v>
      </c>
      <c r="D98" s="132">
        <f>D39*C98*1.33333333333333</f>
        <v>1943.33</v>
      </c>
    </row>
    <row r="99" spans="1:4" outlineLevel="1" x14ac:dyDescent="0.35">
      <c r="A99" s="644" t="s">
        <v>11</v>
      </c>
      <c r="B99" s="645"/>
      <c r="C99" s="67">
        <f>'SR - ASG int'!C99</f>
        <v>5.5500000000000001E-2</v>
      </c>
      <c r="D99" s="116">
        <f>IF(C99&gt;1,D88+D93,(D88+D93)*C99)</f>
        <v>171.02</v>
      </c>
    </row>
    <row r="100" spans="1:4" outlineLevel="1" x14ac:dyDescent="0.35">
      <c r="A100" s="658"/>
      <c r="B100" s="659"/>
      <c r="C100" s="659"/>
      <c r="D100" s="660"/>
    </row>
    <row r="101" spans="1:4" outlineLevel="1" x14ac:dyDescent="0.35">
      <c r="A101" s="64" t="s">
        <v>195</v>
      </c>
      <c r="B101" s="109" t="s">
        <v>196</v>
      </c>
      <c r="C101" s="110" t="s">
        <v>44</v>
      </c>
      <c r="D101" s="110" t="s">
        <v>35</v>
      </c>
    </row>
    <row r="102" spans="1:4" outlineLevel="2" x14ac:dyDescent="0.35">
      <c r="A102" s="35" t="s">
        <v>36</v>
      </c>
      <c r="B102" s="41" t="s">
        <v>197</v>
      </c>
      <c r="C102" s="45">
        <f>IF(C111&gt;1,(1/30*7)*2,(1/30*7))</f>
        <v>0.23330000000000001</v>
      </c>
      <c r="D102" s="132">
        <f>C102*SUM(D103:D107)</f>
        <v>639.42999999999995</v>
      </c>
    </row>
    <row r="103" spans="1:4" outlineLevel="3" x14ac:dyDescent="0.35">
      <c r="A103" s="37" t="s">
        <v>177</v>
      </c>
      <c r="B103" s="38" t="s">
        <v>198</v>
      </c>
      <c r="C103" s="35">
        <v>1</v>
      </c>
      <c r="D103" s="131">
        <f>D39</f>
        <v>1457.5</v>
      </c>
    </row>
    <row r="104" spans="1:4" outlineLevel="3" x14ac:dyDescent="0.35">
      <c r="A104" s="37" t="s">
        <v>179</v>
      </c>
      <c r="B104" s="38" t="s">
        <v>199</v>
      </c>
      <c r="C104" s="29">
        <f>1/12</f>
        <v>8.3299999999999999E-2</v>
      </c>
      <c r="D104" s="131">
        <f>C104*D103</f>
        <v>121.41</v>
      </c>
    </row>
    <row r="105" spans="1:4" outlineLevel="3" x14ac:dyDescent="0.35">
      <c r="A105" s="37" t="s">
        <v>181</v>
      </c>
      <c r="B105" s="38" t="s">
        <v>200</v>
      </c>
      <c r="C105" s="29">
        <f>(1/12)+(1/12/3)</f>
        <v>0.1111</v>
      </c>
      <c r="D105" s="131">
        <f>C105*D103</f>
        <v>161.93</v>
      </c>
    </row>
    <row r="106" spans="1:4" outlineLevel="3" x14ac:dyDescent="0.35">
      <c r="A106" s="37" t="s">
        <v>183</v>
      </c>
      <c r="B106" s="46" t="s">
        <v>63</v>
      </c>
      <c r="C106" s="47">
        <f>C63</f>
        <v>0.36799999999999999</v>
      </c>
      <c r="D106" s="132">
        <f>C106*(D103+D104)</f>
        <v>581.04</v>
      </c>
    </row>
    <row r="107" spans="1:4" outlineLevel="3" x14ac:dyDescent="0.35">
      <c r="A107" s="37" t="s">
        <v>201</v>
      </c>
      <c r="B107" s="46" t="s">
        <v>202</v>
      </c>
      <c r="C107" s="42">
        <v>1</v>
      </c>
      <c r="D107" s="132">
        <f>D77</f>
        <v>418.94</v>
      </c>
    </row>
    <row r="108" spans="1:4" outlineLevel="2" x14ac:dyDescent="0.35">
      <c r="A108" s="35" t="s">
        <v>16</v>
      </c>
      <c r="B108" s="36" t="s">
        <v>203</v>
      </c>
      <c r="C108" s="40">
        <v>0.4</v>
      </c>
      <c r="D108" s="131">
        <f>C108*D109</f>
        <v>1027.6400000000001</v>
      </c>
    </row>
    <row r="109" spans="1:4" outlineLevel="2" x14ac:dyDescent="0.35">
      <c r="A109" s="35" t="s">
        <v>186</v>
      </c>
      <c r="B109" s="36" t="s">
        <v>187</v>
      </c>
      <c r="C109" s="40">
        <f>C62</f>
        <v>0.08</v>
      </c>
      <c r="D109" s="131">
        <f>C109*D110</f>
        <v>2569.09</v>
      </c>
    </row>
    <row r="110" spans="1:4" outlineLevel="2" x14ac:dyDescent="0.35">
      <c r="A110" s="35" t="s">
        <v>188</v>
      </c>
      <c r="B110" s="41" t="s">
        <v>116</v>
      </c>
      <c r="C110" s="42" t="s">
        <v>152</v>
      </c>
      <c r="D110" s="132">
        <f>D95</f>
        <v>32113.58</v>
      </c>
    </row>
    <row r="111" spans="1:4" outlineLevel="1" x14ac:dyDescent="0.35">
      <c r="A111" s="644" t="s">
        <v>11</v>
      </c>
      <c r="B111" s="645"/>
      <c r="C111" s="67">
        <f>'SR - ASG int'!C111</f>
        <v>0.94450000000000001</v>
      </c>
      <c r="D111" s="116">
        <f>IF(C111&gt;1,D102+D108,(D102+D108)*C111)</f>
        <v>1574.55</v>
      </c>
    </row>
    <row r="112" spans="1:4" outlineLevel="1" x14ac:dyDescent="0.35">
      <c r="A112" s="658"/>
      <c r="B112" s="659"/>
      <c r="C112" s="659"/>
      <c r="D112" s="660"/>
    </row>
    <row r="113" spans="1:4" outlineLevel="1" x14ac:dyDescent="0.35">
      <c r="A113" s="64" t="s">
        <v>204</v>
      </c>
      <c r="B113" s="109" t="s">
        <v>205</v>
      </c>
      <c r="C113" s="110" t="s">
        <v>44</v>
      </c>
      <c r="D113" s="110" t="s">
        <v>35</v>
      </c>
    </row>
    <row r="114" spans="1:4" outlineLevel="2" x14ac:dyDescent="0.35">
      <c r="A114" s="111" t="s">
        <v>36</v>
      </c>
      <c r="B114" s="31" t="s">
        <v>206</v>
      </c>
      <c r="C114" s="34">
        <f>IF(C12&gt;60,(D39/12*(C12-60))/C12/D39,IF(C12&gt;48,(D39/12*(C12-48))/C12/D39,IF(C12&gt;36,(D39/12*(C12-36))/C12/D39,IF(C12&gt;24,(D39/12*(C12-24))/C12/D39,IF(C12&gt;12,((D39/12*(C12-12))/C12/D39),1/12)))))</f>
        <v>3.3300000000000003E-2</v>
      </c>
      <c r="D114" s="133">
        <f>C114*D39</f>
        <v>48.53</v>
      </c>
    </row>
    <row r="115" spans="1:4" outlineLevel="2" x14ac:dyDescent="0.35">
      <c r="A115" s="111" t="s">
        <v>16</v>
      </c>
      <c r="B115" s="48" t="s">
        <v>207</v>
      </c>
      <c r="C115" s="34">
        <f>C114/3</f>
        <v>1.11E-2</v>
      </c>
      <c r="D115" s="134">
        <f>C115*D39</f>
        <v>16.18</v>
      </c>
    </row>
    <row r="116" spans="1:4" outlineLevel="1" x14ac:dyDescent="0.35">
      <c r="A116" s="644" t="s">
        <v>11</v>
      </c>
      <c r="B116" s="645"/>
      <c r="C116" s="30">
        <f>C114+C115</f>
        <v>4.4400000000000002E-2</v>
      </c>
      <c r="D116" s="116">
        <f>SUM(D114:D115)</f>
        <v>64.709999999999994</v>
      </c>
    </row>
    <row r="117" spans="1:4" outlineLevel="1" x14ac:dyDescent="0.35">
      <c r="A117" s="658"/>
      <c r="B117" s="659"/>
      <c r="C117" s="659"/>
      <c r="D117" s="660"/>
    </row>
    <row r="118" spans="1:4" outlineLevel="1" x14ac:dyDescent="0.35">
      <c r="A118" s="661" t="s">
        <v>208</v>
      </c>
      <c r="B118" s="662"/>
      <c r="C118" s="110" t="s">
        <v>44</v>
      </c>
      <c r="D118" s="110" t="s">
        <v>35</v>
      </c>
    </row>
    <row r="119" spans="1:4" outlineLevel="1" x14ac:dyDescent="0.35">
      <c r="A119" s="111" t="s">
        <v>174</v>
      </c>
      <c r="B119" s="31" t="s">
        <v>175</v>
      </c>
      <c r="C119" s="34">
        <f>C99</f>
        <v>5.5500000000000001E-2</v>
      </c>
      <c r="D119" s="104">
        <f>D99</f>
        <v>171.02</v>
      </c>
    </row>
    <row r="120" spans="1:4" outlineLevel="1" x14ac:dyDescent="0.35">
      <c r="A120" s="113" t="s">
        <v>195</v>
      </c>
      <c r="B120" s="31" t="s">
        <v>196</v>
      </c>
      <c r="C120" s="49">
        <f>C111</f>
        <v>0.94450000000000001</v>
      </c>
      <c r="D120" s="104">
        <f>D111</f>
        <v>1574.55</v>
      </c>
    </row>
    <row r="121" spans="1:4" outlineLevel="1" x14ac:dyDescent="0.35">
      <c r="A121" s="679" t="s">
        <v>209</v>
      </c>
      <c r="B121" s="679"/>
      <c r="C121" s="679"/>
      <c r="D121" s="135">
        <f>D119+D120</f>
        <v>1745.57</v>
      </c>
    </row>
    <row r="122" spans="1:4" outlineLevel="1" x14ac:dyDescent="0.35">
      <c r="A122" s="675" t="s">
        <v>210</v>
      </c>
      <c r="B122" s="676"/>
      <c r="C122" s="68">
        <f>'SR - ASG int'!C122</f>
        <v>0.63570000000000004</v>
      </c>
      <c r="D122" s="58">
        <f>C122*D121</f>
        <v>1109.6600000000001</v>
      </c>
    </row>
    <row r="123" spans="1:4" outlineLevel="1" x14ac:dyDescent="0.35">
      <c r="A123" s="675" t="s">
        <v>211</v>
      </c>
      <c r="B123" s="676"/>
      <c r="C123" s="68">
        <f>'SR - ASG int'!C123</f>
        <v>1.0999999999999999E-2</v>
      </c>
      <c r="D123" s="58">
        <f>(D50+(D116/2))*-C123</f>
        <v>-1.69</v>
      </c>
    </row>
    <row r="124" spans="1:4" outlineLevel="1" x14ac:dyDescent="0.35">
      <c r="A124" s="677" t="s">
        <v>212</v>
      </c>
      <c r="B124" s="678"/>
      <c r="C124" s="72">
        <f>1/C12</f>
        <v>0.05</v>
      </c>
      <c r="D124" s="59">
        <f>(D122+D123)*C124</f>
        <v>55.4</v>
      </c>
    </row>
    <row r="125" spans="1:4" outlineLevel="1" x14ac:dyDescent="0.35">
      <c r="A125" s="113" t="s">
        <v>204</v>
      </c>
      <c r="B125" s="31" t="s">
        <v>213</v>
      </c>
      <c r="C125" s="49"/>
      <c r="D125" s="124">
        <f>D116</f>
        <v>64.709999999999994</v>
      </c>
    </row>
    <row r="126" spans="1:4" x14ac:dyDescent="0.35">
      <c r="A126" s="644" t="s">
        <v>11</v>
      </c>
      <c r="B126" s="645"/>
      <c r="C126" s="30"/>
      <c r="D126" s="136">
        <f>D124+D125</f>
        <v>120.11</v>
      </c>
    </row>
    <row r="127" spans="1:4" x14ac:dyDescent="0.35">
      <c r="A127" s="646"/>
      <c r="B127" s="647"/>
      <c r="C127" s="647"/>
      <c r="D127" s="648"/>
    </row>
    <row r="128" spans="1:4" x14ac:dyDescent="0.35">
      <c r="A128" s="663" t="s">
        <v>64</v>
      </c>
      <c r="B128" s="664"/>
      <c r="C128" s="664"/>
      <c r="D128" s="665"/>
    </row>
    <row r="129" spans="1:4" outlineLevel="1" x14ac:dyDescent="0.35">
      <c r="A129" s="658"/>
      <c r="B129" s="659"/>
      <c r="C129" s="659"/>
      <c r="D129" s="660"/>
    </row>
    <row r="130" spans="1:4" outlineLevel="1" x14ac:dyDescent="0.35">
      <c r="A130" s="110" t="s">
        <v>65</v>
      </c>
      <c r="B130" s="117" t="s">
        <v>214</v>
      </c>
      <c r="C130" s="30" t="s">
        <v>44</v>
      </c>
      <c r="D130" s="110" t="s">
        <v>35</v>
      </c>
    </row>
    <row r="131" spans="1:4" outlineLevel="2" x14ac:dyDescent="0.35">
      <c r="A131" s="137" t="s">
        <v>36</v>
      </c>
      <c r="B131" s="89" t="s">
        <v>66</v>
      </c>
      <c r="C131" s="50">
        <f>IF(C12&gt;60,5/C12,IF(C12&gt;48,4/C12,IF(C12&gt;36,3/C12,IF(C12&gt;24,2/C12,IF(C12&gt;12,1/C12,0)))))</f>
        <v>0.05</v>
      </c>
      <c r="D131" s="133">
        <f>SUM(D132:D136)</f>
        <v>94.17</v>
      </c>
    </row>
    <row r="132" spans="1:4" outlineLevel="3" x14ac:dyDescent="0.35">
      <c r="A132" s="138" t="s">
        <v>215</v>
      </c>
      <c r="B132" s="90" t="s">
        <v>216</v>
      </c>
      <c r="C132" s="139">
        <f>D39</f>
        <v>1457.5</v>
      </c>
      <c r="D132" s="140">
        <f>$C$131*(D39)-($C$131*(D39)*C137/3)</f>
        <v>72.88</v>
      </c>
    </row>
    <row r="133" spans="1:4" outlineLevel="3" x14ac:dyDescent="0.35">
      <c r="A133" s="138" t="s">
        <v>217</v>
      </c>
      <c r="B133" s="90" t="s">
        <v>218</v>
      </c>
      <c r="C133" s="139">
        <f>(D50)</f>
        <v>121.41</v>
      </c>
      <c r="D133" s="140">
        <f>$C$131*C133-($C$131*C133*C137/3)</f>
        <v>6.07</v>
      </c>
    </row>
    <row r="134" spans="1:4" outlineLevel="3" x14ac:dyDescent="0.35">
      <c r="A134" s="138" t="s">
        <v>219</v>
      </c>
      <c r="B134" s="90" t="s">
        <v>220</v>
      </c>
      <c r="C134" s="141">
        <f>(D39/12)+(D51*IF(C12&gt;60,((C12-60)*(1/60))+1,IF(C12&gt;48,((C12-48)*(1/48))+1,IF(C12&gt;36,((C12-36)*(1/36))+1,IF(C12&gt;24,((C12-24)*(1/24))+1,IF(C12&gt;12,((C12-12)*(1/12))+1,1))))))</f>
        <v>162.03</v>
      </c>
      <c r="D134" s="140">
        <f>$C$131*C134-($C$131*C134*C137/3)</f>
        <v>8.1</v>
      </c>
    </row>
    <row r="135" spans="1:4" outlineLevel="3" x14ac:dyDescent="0.35">
      <c r="A135" s="138" t="s">
        <v>221</v>
      </c>
      <c r="B135" s="90" t="s">
        <v>222</v>
      </c>
      <c r="C135" s="91">
        <f>C63</f>
        <v>0.36799999999999999</v>
      </c>
      <c r="D135" s="140">
        <f>SUM(D132:D134)*C131</f>
        <v>4.3499999999999996</v>
      </c>
    </row>
    <row r="136" spans="1:4" outlineLevel="3" x14ac:dyDescent="0.35">
      <c r="A136" s="138" t="s">
        <v>223</v>
      </c>
      <c r="B136" s="90" t="s">
        <v>224</v>
      </c>
      <c r="C136" s="141">
        <f>D124</f>
        <v>55.4</v>
      </c>
      <c r="D136" s="140">
        <f>C136*C131</f>
        <v>2.77</v>
      </c>
    </row>
    <row r="137" spans="1:4" outlineLevel="2" x14ac:dyDescent="0.35">
      <c r="A137" s="111" t="s">
        <v>16</v>
      </c>
      <c r="B137" s="31" t="s">
        <v>225</v>
      </c>
      <c r="C137" s="92">
        <v>0</v>
      </c>
      <c r="D137" s="124">
        <f>$C$131*(D39)*(C137/3)</f>
        <v>0</v>
      </c>
    </row>
    <row r="138" spans="1:4" outlineLevel="1" x14ac:dyDescent="0.35">
      <c r="A138" s="644" t="s">
        <v>226</v>
      </c>
      <c r="B138" s="645"/>
      <c r="C138" s="30">
        <f>C131+(D137/D39)</f>
        <v>0.05</v>
      </c>
      <c r="D138" s="116">
        <f>SUM(D131:D137)</f>
        <v>188.34</v>
      </c>
    </row>
    <row r="139" spans="1:4" outlineLevel="1" x14ac:dyDescent="0.35">
      <c r="A139" s="658"/>
      <c r="B139" s="659"/>
      <c r="C139" s="659"/>
      <c r="D139" s="660"/>
    </row>
    <row r="140" spans="1:4" outlineLevel="2" x14ac:dyDescent="0.35">
      <c r="A140" s="668" t="s">
        <v>227</v>
      </c>
      <c r="B140" s="142" t="s">
        <v>190</v>
      </c>
      <c r="C140" s="93">
        <v>220</v>
      </c>
      <c r="D140" s="143">
        <f>D39</f>
        <v>1457.5</v>
      </c>
    </row>
    <row r="141" spans="1:4" outlineLevel="2" x14ac:dyDescent="0.35">
      <c r="A141" s="669"/>
      <c r="B141" s="142" t="s">
        <v>228</v>
      </c>
      <c r="C141" s="50">
        <f>(1+(1/3)+1)/12</f>
        <v>0.19439999999999999</v>
      </c>
      <c r="D141" s="144">
        <f>D140*C141</f>
        <v>283.33999999999997</v>
      </c>
    </row>
    <row r="142" spans="1:4" outlineLevel="2" x14ac:dyDescent="0.35">
      <c r="A142" s="669"/>
      <c r="B142" s="142" t="s">
        <v>229</v>
      </c>
      <c r="C142" s="50">
        <f>C63</f>
        <v>0.36799999999999999</v>
      </c>
      <c r="D142" s="144">
        <f>(D140+D141)*C142</f>
        <v>640.63</v>
      </c>
    </row>
    <row r="143" spans="1:4" outlineLevel="2" x14ac:dyDescent="0.35">
      <c r="A143" s="669"/>
      <c r="B143" s="142" t="s">
        <v>230</v>
      </c>
      <c r="C143" s="50">
        <f>D143/D140</f>
        <v>0.28739999999999999</v>
      </c>
      <c r="D143" s="144">
        <f>D77</f>
        <v>418.94</v>
      </c>
    </row>
    <row r="144" spans="1:4" outlineLevel="2" x14ac:dyDescent="0.35">
      <c r="A144" s="670"/>
      <c r="B144" s="145" t="s">
        <v>231</v>
      </c>
      <c r="C144" s="50">
        <f>D144/D140</f>
        <v>3.7999999999999999E-2</v>
      </c>
      <c r="D144" s="144">
        <f>D124</f>
        <v>55.4</v>
      </c>
    </row>
    <row r="145" spans="1:4" outlineLevel="2" x14ac:dyDescent="0.35">
      <c r="A145" s="671" t="s">
        <v>232</v>
      </c>
      <c r="B145" s="672"/>
      <c r="C145" s="94">
        <f>D145/D140</f>
        <v>1.9594</v>
      </c>
      <c r="D145" s="146">
        <f>SUM(D140:D144)</f>
        <v>2855.81</v>
      </c>
    </row>
    <row r="146" spans="1:4" outlineLevel="2" x14ac:dyDescent="0.35">
      <c r="A146" s="673"/>
      <c r="B146" s="673"/>
      <c r="C146" s="673"/>
      <c r="D146" s="674"/>
    </row>
    <row r="147" spans="1:4" outlineLevel="1" x14ac:dyDescent="0.35">
      <c r="A147" s="110" t="s">
        <v>233</v>
      </c>
      <c r="B147" s="117" t="s">
        <v>234</v>
      </c>
      <c r="C147" s="30" t="s">
        <v>44</v>
      </c>
      <c r="D147" s="110" t="s">
        <v>35</v>
      </c>
    </row>
    <row r="148" spans="1:4" outlineLevel="2" x14ac:dyDescent="0.35">
      <c r="A148" s="111" t="s">
        <v>16</v>
      </c>
      <c r="B148" s="31" t="s">
        <v>118</v>
      </c>
      <c r="C148" s="77">
        <f>5/252</f>
        <v>1.9800000000000002E-2</v>
      </c>
      <c r="D148" s="133">
        <f>C148*$D$145</f>
        <v>56.55</v>
      </c>
    </row>
    <row r="149" spans="1:4" outlineLevel="2" x14ac:dyDescent="0.35">
      <c r="A149" s="111" t="s">
        <v>17</v>
      </c>
      <c r="B149" s="31" t="s">
        <v>119</v>
      </c>
      <c r="C149" s="77">
        <f>1.383/252</f>
        <v>5.4999999999999997E-3</v>
      </c>
      <c r="D149" s="133">
        <f>C149*$D$145</f>
        <v>15.71</v>
      </c>
    </row>
    <row r="150" spans="1:4" outlineLevel="2" x14ac:dyDescent="0.35">
      <c r="A150" s="111" t="s">
        <v>19</v>
      </c>
      <c r="B150" s="31" t="s">
        <v>117</v>
      </c>
      <c r="C150" s="77">
        <f>1.3892/252</f>
        <v>5.4999999999999997E-3</v>
      </c>
      <c r="D150" s="133">
        <f t="shared" ref="D150:D153" si="1">C150*$D$145</f>
        <v>15.71</v>
      </c>
    </row>
    <row r="151" spans="1:4" outlineLevel="2" x14ac:dyDescent="0.35">
      <c r="A151" s="111" t="s">
        <v>22</v>
      </c>
      <c r="B151" s="31" t="s">
        <v>67</v>
      </c>
      <c r="C151" s="77">
        <f>0.65/252</f>
        <v>2.5999999999999999E-3</v>
      </c>
      <c r="D151" s="133">
        <f t="shared" si="1"/>
        <v>7.43</v>
      </c>
    </row>
    <row r="152" spans="1:4" outlineLevel="2" x14ac:dyDescent="0.35">
      <c r="A152" s="111" t="s">
        <v>24</v>
      </c>
      <c r="B152" s="31" t="s">
        <v>68</v>
      </c>
      <c r="C152" s="77">
        <f>0.5052/252</f>
        <v>2E-3</v>
      </c>
      <c r="D152" s="133">
        <f t="shared" si="1"/>
        <v>5.71</v>
      </c>
    </row>
    <row r="153" spans="1:4" outlineLevel="2" x14ac:dyDescent="0.35">
      <c r="A153" s="111" t="s">
        <v>36</v>
      </c>
      <c r="B153" s="61" t="s">
        <v>235</v>
      </c>
      <c r="C153" s="69">
        <f>0.2/252</f>
        <v>8.0000000000000004E-4</v>
      </c>
      <c r="D153" s="133">
        <f t="shared" si="1"/>
        <v>2.2799999999999998</v>
      </c>
    </row>
    <row r="154" spans="1:4" outlineLevel="1" x14ac:dyDescent="0.35">
      <c r="A154" s="644" t="s">
        <v>226</v>
      </c>
      <c r="B154" s="645"/>
      <c r="C154" s="30">
        <f>SUM(C148:C153)</f>
        <v>3.6200000000000003E-2</v>
      </c>
      <c r="D154" s="116">
        <f>SUM(D148:D153)</f>
        <v>103.39</v>
      </c>
    </row>
    <row r="155" spans="1:4" outlineLevel="1" x14ac:dyDescent="0.35">
      <c r="A155" s="658"/>
      <c r="B155" s="659"/>
      <c r="C155" s="659"/>
      <c r="D155" s="660"/>
    </row>
    <row r="156" spans="1:4" outlineLevel="1" x14ac:dyDescent="0.35">
      <c r="A156" s="661" t="s">
        <v>236</v>
      </c>
      <c r="B156" s="666"/>
      <c r="C156" s="30" t="s">
        <v>237</v>
      </c>
      <c r="D156" s="110" t="s">
        <v>35</v>
      </c>
    </row>
    <row r="157" spans="1:4" outlineLevel="2" x14ac:dyDescent="0.4">
      <c r="A157" s="667" t="s">
        <v>238</v>
      </c>
      <c r="B157" s="142" t="s">
        <v>239</v>
      </c>
      <c r="C157" s="95">
        <f>C153</f>
        <v>8.0000000000000004E-4</v>
      </c>
      <c r="D157" s="147">
        <f>C157*-D140</f>
        <v>-1.17</v>
      </c>
    </row>
    <row r="158" spans="1:4" outlineLevel="2" x14ac:dyDescent="0.4">
      <c r="A158" s="667"/>
      <c r="B158" s="148" t="s">
        <v>240</v>
      </c>
      <c r="C158" s="96">
        <v>0</v>
      </c>
      <c r="D158" s="149">
        <f>C158*-(D140/220/24*5)</f>
        <v>0</v>
      </c>
    </row>
    <row r="159" spans="1:4" outlineLevel="2" x14ac:dyDescent="0.4">
      <c r="A159" s="667"/>
      <c r="B159" s="148" t="s">
        <v>241</v>
      </c>
      <c r="C159" s="96">
        <v>0</v>
      </c>
      <c r="D159" s="149">
        <f>C159*-D141</f>
        <v>0</v>
      </c>
    </row>
    <row r="160" spans="1:4" outlineLevel="2" x14ac:dyDescent="0.4">
      <c r="A160" s="667"/>
      <c r="B160" s="142" t="s">
        <v>242</v>
      </c>
      <c r="C160" s="95">
        <f>C154</f>
        <v>3.6200000000000003E-2</v>
      </c>
      <c r="D160" s="147">
        <f>C160*-D66</f>
        <v>0</v>
      </c>
    </row>
    <row r="161" spans="1:4" outlineLevel="2" x14ac:dyDescent="0.4">
      <c r="A161" s="667"/>
      <c r="B161" s="142" t="s">
        <v>243</v>
      </c>
      <c r="C161" s="95">
        <f>C154</f>
        <v>3.6200000000000003E-2</v>
      </c>
      <c r="D161" s="147">
        <f>C161*-D69</f>
        <v>-10.51</v>
      </c>
    </row>
    <row r="162" spans="1:4" outlineLevel="2" x14ac:dyDescent="0.4">
      <c r="A162" s="667"/>
      <c r="B162" s="145" t="s">
        <v>244</v>
      </c>
      <c r="C162" s="95">
        <f>C153</f>
        <v>8.0000000000000004E-4</v>
      </c>
      <c r="D162" s="147">
        <f>C162*-D74</f>
        <v>-0.02</v>
      </c>
    </row>
    <row r="163" spans="1:4" outlineLevel="2" x14ac:dyDescent="0.35">
      <c r="A163" s="667"/>
      <c r="B163" s="145" t="s">
        <v>245</v>
      </c>
      <c r="C163" s="97">
        <f>C152</f>
        <v>2E-3</v>
      </c>
      <c r="D163" s="133">
        <f>C163*-SUM(D55:D61)</f>
        <v>-0.92</v>
      </c>
    </row>
    <row r="164" spans="1:4" outlineLevel="2" x14ac:dyDescent="0.4">
      <c r="A164" s="667"/>
      <c r="B164" s="142" t="s">
        <v>246</v>
      </c>
      <c r="C164" s="95">
        <f>C153</f>
        <v>8.0000000000000004E-4</v>
      </c>
      <c r="D164" s="147">
        <f>C164*-D142</f>
        <v>-0.51</v>
      </c>
    </row>
    <row r="165" spans="1:4" outlineLevel="1" x14ac:dyDescent="0.35">
      <c r="A165" s="644" t="s">
        <v>247</v>
      </c>
      <c r="B165" s="645"/>
      <c r="C165" s="30">
        <f>D165/D140</f>
        <v>-8.9999999999999993E-3</v>
      </c>
      <c r="D165" s="116">
        <f>SUM(D157:D164)</f>
        <v>-13.13</v>
      </c>
    </row>
    <row r="166" spans="1:4" outlineLevel="1" x14ac:dyDescent="0.35">
      <c r="A166" s="658"/>
      <c r="B166" s="659"/>
      <c r="C166" s="659"/>
      <c r="D166" s="660"/>
    </row>
    <row r="167" spans="1:4" outlineLevel="1" x14ac:dyDescent="0.35">
      <c r="A167" s="644" t="s">
        <v>248</v>
      </c>
      <c r="B167" s="645"/>
      <c r="C167" s="30">
        <f>D167/D140</f>
        <v>6.1899999999999997E-2</v>
      </c>
      <c r="D167" s="116">
        <f>D154+D165</f>
        <v>90.26</v>
      </c>
    </row>
    <row r="168" spans="1:4" outlineLevel="1" x14ac:dyDescent="0.35">
      <c r="A168" s="658"/>
      <c r="B168" s="659"/>
      <c r="C168" s="659"/>
      <c r="D168" s="660"/>
    </row>
    <row r="169" spans="1:4" outlineLevel="1" x14ac:dyDescent="0.35">
      <c r="A169" s="661" t="s">
        <v>249</v>
      </c>
      <c r="B169" s="662"/>
      <c r="C169" s="110" t="s">
        <v>44</v>
      </c>
      <c r="D169" s="110" t="s">
        <v>35</v>
      </c>
    </row>
    <row r="170" spans="1:4" outlineLevel="1" x14ac:dyDescent="0.35">
      <c r="A170" s="111" t="s">
        <v>65</v>
      </c>
      <c r="B170" s="31" t="s">
        <v>214</v>
      </c>
      <c r="C170" s="34"/>
      <c r="D170" s="150">
        <f>D138</f>
        <v>188.34</v>
      </c>
    </row>
    <row r="171" spans="1:4" outlineLevel="1" x14ac:dyDescent="0.35">
      <c r="A171" s="111" t="s">
        <v>233</v>
      </c>
      <c r="B171" s="31" t="s">
        <v>234</v>
      </c>
      <c r="C171" s="34"/>
      <c r="D171" s="150">
        <f>D167</f>
        <v>90.26</v>
      </c>
    </row>
    <row r="172" spans="1:4" x14ac:dyDescent="0.35">
      <c r="A172" s="644" t="s">
        <v>11</v>
      </c>
      <c r="B172" s="657"/>
      <c r="C172" s="645"/>
      <c r="D172" s="119">
        <f>SUM(D170:D171)</f>
        <v>278.60000000000002</v>
      </c>
    </row>
    <row r="173" spans="1:4" x14ac:dyDescent="0.35">
      <c r="A173" s="658"/>
      <c r="B173" s="659"/>
      <c r="C173" s="659"/>
      <c r="D173" s="660"/>
    </row>
    <row r="174" spans="1:4" x14ac:dyDescent="0.35">
      <c r="A174" s="663" t="s">
        <v>69</v>
      </c>
      <c r="B174" s="664"/>
      <c r="C174" s="664"/>
      <c r="D174" s="665"/>
    </row>
    <row r="175" spans="1:4" outlineLevel="1" x14ac:dyDescent="0.35">
      <c r="A175" s="658"/>
      <c r="B175" s="659"/>
      <c r="C175" s="659"/>
      <c r="D175" s="660"/>
    </row>
    <row r="176" spans="1:4" outlineLevel="1" x14ac:dyDescent="0.35">
      <c r="A176" s="64">
        <v>5</v>
      </c>
      <c r="B176" s="644" t="s">
        <v>250</v>
      </c>
      <c r="C176" s="645"/>
      <c r="D176" s="110" t="s">
        <v>35</v>
      </c>
    </row>
    <row r="177" spans="1:4" outlineLevel="1" x14ac:dyDescent="0.35">
      <c r="A177" s="111" t="s">
        <v>36</v>
      </c>
      <c r="B177" s="655" t="s">
        <v>343</v>
      </c>
      <c r="C177" s="656"/>
      <c r="D177" s="133">
        <f>INSUMOS!H12</f>
        <v>25.07</v>
      </c>
    </row>
    <row r="178" spans="1:4" outlineLevel="1" x14ac:dyDescent="0.35">
      <c r="A178" s="111" t="s">
        <v>16</v>
      </c>
      <c r="B178" s="655" t="s">
        <v>369</v>
      </c>
      <c r="C178" s="656"/>
      <c r="D178" s="151">
        <f>INSUMOS!H34</f>
        <v>29.12</v>
      </c>
    </row>
    <row r="179" spans="1:4" outlineLevel="1" x14ac:dyDescent="0.35">
      <c r="A179" s="111" t="s">
        <v>17</v>
      </c>
      <c r="B179" s="640" t="s">
        <v>326</v>
      </c>
      <c r="C179" s="642"/>
      <c r="D179" s="151">
        <f>MATERIAIS!K125</f>
        <v>277.89</v>
      </c>
    </row>
    <row r="180" spans="1:4" outlineLevel="1" x14ac:dyDescent="0.35">
      <c r="A180" s="111" t="s">
        <v>19</v>
      </c>
      <c r="B180" s="640" t="s">
        <v>325</v>
      </c>
      <c r="C180" s="642"/>
      <c r="D180" s="151">
        <f>EQUIPAMENTOS!L134</f>
        <v>24.75</v>
      </c>
    </row>
    <row r="181" spans="1:4" outlineLevel="1" x14ac:dyDescent="0.35">
      <c r="A181" s="111" t="s">
        <v>22</v>
      </c>
      <c r="B181" s="705" t="s">
        <v>39</v>
      </c>
      <c r="C181" s="706"/>
      <c r="D181" s="130">
        <v>0</v>
      </c>
    </row>
    <row r="182" spans="1:4" x14ac:dyDescent="0.35">
      <c r="A182" s="111" t="s">
        <v>24</v>
      </c>
      <c r="B182" s="705" t="s">
        <v>39</v>
      </c>
      <c r="C182" s="706"/>
      <c r="D182" s="130">
        <v>0</v>
      </c>
    </row>
    <row r="183" spans="1:4" x14ac:dyDescent="0.35">
      <c r="A183" s="644" t="s">
        <v>11</v>
      </c>
      <c r="B183" s="657"/>
      <c r="C183" s="645"/>
      <c r="D183" s="116">
        <f>SUM(D177:D181)</f>
        <v>356.83</v>
      </c>
    </row>
    <row r="184" spans="1:4" x14ac:dyDescent="0.35">
      <c r="A184" s="650"/>
      <c r="B184" s="650"/>
      <c r="C184" s="650"/>
      <c r="D184" s="650"/>
    </row>
    <row r="185" spans="1:4" x14ac:dyDescent="0.35">
      <c r="A185" s="649" t="s">
        <v>70</v>
      </c>
      <c r="B185" s="649"/>
      <c r="C185" s="649"/>
      <c r="D185" s="152">
        <f>D39+D83+D126+D172+D182</f>
        <v>3010.9</v>
      </c>
    </row>
    <row r="186" spans="1:4" x14ac:dyDescent="0.35">
      <c r="A186" s="650"/>
      <c r="B186" s="650"/>
      <c r="C186" s="650"/>
      <c r="D186" s="650"/>
    </row>
    <row r="187" spans="1:4" x14ac:dyDescent="0.35">
      <c r="A187" s="651" t="s">
        <v>71</v>
      </c>
      <c r="B187" s="651"/>
      <c r="C187" s="651"/>
      <c r="D187" s="651"/>
    </row>
    <row r="188" spans="1:4" outlineLevel="1" x14ac:dyDescent="0.35">
      <c r="A188" s="652"/>
      <c r="B188" s="653"/>
      <c r="C188" s="653"/>
      <c r="D188" s="654"/>
    </row>
    <row r="189" spans="1:4" outlineLevel="1" x14ac:dyDescent="0.35">
      <c r="A189" s="64">
        <v>6</v>
      </c>
      <c r="B189" s="117" t="s">
        <v>72</v>
      </c>
      <c r="C189" s="110" t="s">
        <v>44</v>
      </c>
      <c r="D189" s="110" t="s">
        <v>35</v>
      </c>
    </row>
    <row r="190" spans="1:4" outlineLevel="1" x14ac:dyDescent="0.35">
      <c r="A190" s="111" t="s">
        <v>36</v>
      </c>
      <c r="B190" s="31" t="s">
        <v>73</v>
      </c>
      <c r="C190" s="70">
        <f>'SR - ASG int'!C189</f>
        <v>2.6499999999999999E-2</v>
      </c>
      <c r="D190" s="105">
        <f>C190*D185</f>
        <v>79.790000000000006</v>
      </c>
    </row>
    <row r="191" spans="1:4" outlineLevel="1" x14ac:dyDescent="0.35">
      <c r="A191" s="638" t="s">
        <v>1</v>
      </c>
      <c r="B191" s="639"/>
      <c r="C191" s="643"/>
      <c r="D191" s="105">
        <f>D185+D190</f>
        <v>3090.69</v>
      </c>
    </row>
    <row r="192" spans="1:4" outlineLevel="1" x14ac:dyDescent="0.35">
      <c r="A192" s="111" t="s">
        <v>16</v>
      </c>
      <c r="B192" s="31" t="s">
        <v>74</v>
      </c>
      <c r="C192" s="70">
        <f>'SR - ASG int'!C191</f>
        <v>0.1087</v>
      </c>
      <c r="D192" s="105">
        <f>C192*D191</f>
        <v>335.96</v>
      </c>
    </row>
    <row r="193" spans="1:4" outlineLevel="1" x14ac:dyDescent="0.35">
      <c r="A193" s="638" t="s">
        <v>1</v>
      </c>
      <c r="B193" s="639"/>
      <c r="C193" s="639"/>
      <c r="D193" s="105">
        <f>D192+D191</f>
        <v>3426.65</v>
      </c>
    </row>
    <row r="194" spans="1:4" outlineLevel="1" x14ac:dyDescent="0.35">
      <c r="A194" s="111" t="s">
        <v>17</v>
      </c>
      <c r="B194" s="640" t="s">
        <v>75</v>
      </c>
      <c r="C194" s="641"/>
      <c r="D194" s="642"/>
    </row>
    <row r="195" spans="1:4" outlineLevel="1" x14ac:dyDescent="0.35">
      <c r="A195" s="153"/>
      <c r="B195" s="63" t="s">
        <v>76</v>
      </c>
      <c r="C195" s="70">
        <v>6.4999999999999997E-3</v>
      </c>
      <c r="D195" s="105">
        <f>(D193/(1-C198)*C195)</f>
        <v>23.86</v>
      </c>
    </row>
    <row r="196" spans="1:4" outlineLevel="1" x14ac:dyDescent="0.35">
      <c r="A196" s="153"/>
      <c r="B196" s="63" t="s">
        <v>77</v>
      </c>
      <c r="C196" s="70">
        <v>0.03</v>
      </c>
      <c r="D196" s="105">
        <f>(D193/(1-C198)*C196)</f>
        <v>110.12</v>
      </c>
    </row>
    <row r="197" spans="1:4" outlineLevel="1" x14ac:dyDescent="0.35">
      <c r="A197" s="153"/>
      <c r="B197" s="63" t="s">
        <v>298</v>
      </c>
      <c r="C197" s="51">
        <v>0.03</v>
      </c>
      <c r="D197" s="105">
        <f>(D193/(1-C198)*C197)</f>
        <v>110.12</v>
      </c>
    </row>
    <row r="198" spans="1:4" outlineLevel="1" x14ac:dyDescent="0.35">
      <c r="A198" s="638" t="s">
        <v>78</v>
      </c>
      <c r="B198" s="643"/>
      <c r="C198" s="52">
        <f>SUM(C195:C197)</f>
        <v>6.6500000000000004E-2</v>
      </c>
      <c r="D198" s="105">
        <f>SUM(D195:D197)</f>
        <v>244.1</v>
      </c>
    </row>
    <row r="199" spans="1:4" x14ac:dyDescent="0.35">
      <c r="A199" s="644" t="s">
        <v>11</v>
      </c>
      <c r="B199" s="645"/>
      <c r="C199" s="53">
        <f>(1+C190)*(1+C192)*(1/(1-C198))-1</f>
        <v>0.21920000000000001</v>
      </c>
      <c r="D199" s="108">
        <f>SUM(D198+D190+D192)</f>
        <v>659.85</v>
      </c>
    </row>
    <row r="200" spans="1:4" x14ac:dyDescent="0.35">
      <c r="A200" s="646"/>
      <c r="B200" s="647"/>
      <c r="C200" s="647"/>
      <c r="D200" s="648"/>
    </row>
    <row r="201" spans="1:4" x14ac:dyDescent="0.35">
      <c r="A201" s="634" t="s">
        <v>79</v>
      </c>
      <c r="B201" s="635"/>
      <c r="C201" s="636"/>
      <c r="D201" s="54" t="s">
        <v>35</v>
      </c>
    </row>
    <row r="202" spans="1:4" x14ac:dyDescent="0.35">
      <c r="A202" s="632" t="s">
        <v>80</v>
      </c>
      <c r="B202" s="637"/>
      <c r="C202" s="637"/>
      <c r="D202" s="633"/>
    </row>
    <row r="203" spans="1:4" x14ac:dyDescent="0.35">
      <c r="A203" s="65" t="s">
        <v>36</v>
      </c>
      <c r="B203" s="632" t="s">
        <v>81</v>
      </c>
      <c r="C203" s="633"/>
      <c r="D203" s="104">
        <f>D39</f>
        <v>1457.5</v>
      </c>
    </row>
    <row r="204" spans="1:4" x14ac:dyDescent="0.35">
      <c r="A204" s="65" t="s">
        <v>16</v>
      </c>
      <c r="B204" s="632" t="s">
        <v>82</v>
      </c>
      <c r="C204" s="633"/>
      <c r="D204" s="104">
        <f>D83</f>
        <v>1154.69</v>
      </c>
    </row>
    <row r="205" spans="1:4" x14ac:dyDescent="0.35">
      <c r="A205" s="65" t="s">
        <v>17</v>
      </c>
      <c r="B205" s="632" t="s">
        <v>83</v>
      </c>
      <c r="C205" s="633"/>
      <c r="D205" s="104">
        <f>D126</f>
        <v>120.11</v>
      </c>
    </row>
    <row r="206" spans="1:4" x14ac:dyDescent="0.35">
      <c r="A206" s="65" t="s">
        <v>19</v>
      </c>
      <c r="B206" s="632" t="s">
        <v>84</v>
      </c>
      <c r="C206" s="633"/>
      <c r="D206" s="104">
        <f>D172</f>
        <v>278.60000000000002</v>
      </c>
    </row>
    <row r="207" spans="1:4" x14ac:dyDescent="0.35">
      <c r="A207" s="65" t="s">
        <v>22</v>
      </c>
      <c r="B207" s="632" t="s">
        <v>85</v>
      </c>
      <c r="C207" s="633"/>
      <c r="D207" s="104">
        <f>D182</f>
        <v>0</v>
      </c>
    </row>
    <row r="208" spans="1:4" x14ac:dyDescent="0.4">
      <c r="A208" s="629" t="s">
        <v>86</v>
      </c>
      <c r="B208" s="630"/>
      <c r="C208" s="631"/>
      <c r="D208" s="104">
        <f>SUM(D203:D207)</f>
        <v>3010.9</v>
      </c>
    </row>
    <row r="209" spans="1:4" x14ac:dyDescent="0.35">
      <c r="A209" s="65" t="s">
        <v>87</v>
      </c>
      <c r="B209" s="632" t="s">
        <v>88</v>
      </c>
      <c r="C209" s="633"/>
      <c r="D209" s="104">
        <f>D199</f>
        <v>659.85</v>
      </c>
    </row>
    <row r="210" spans="1:4" x14ac:dyDescent="0.35">
      <c r="A210" s="634" t="s">
        <v>89</v>
      </c>
      <c r="B210" s="635"/>
      <c r="C210" s="636"/>
      <c r="D210" s="154">
        <f xml:space="preserve"> D208+D209</f>
        <v>3670.75</v>
      </c>
    </row>
    <row r="211" spans="1:4" x14ac:dyDescent="0.4">
      <c r="A211" s="24"/>
      <c r="B211" s="24"/>
      <c r="C211" s="24"/>
      <c r="D211" s="24"/>
    </row>
    <row r="212" spans="1:4" thickBot="1" x14ac:dyDescent="0.4">
      <c r="A212" s="17"/>
      <c r="B212" s="17"/>
      <c r="C212" s="17"/>
      <c r="D212" s="17"/>
    </row>
    <row r="213" spans="1:4" x14ac:dyDescent="0.35">
      <c r="A213" s="702" t="s">
        <v>274</v>
      </c>
      <c r="B213" s="703"/>
      <c r="C213" s="703"/>
      <c r="D213" s="704"/>
    </row>
    <row r="214" spans="1:4" ht="30" x14ac:dyDescent="0.35">
      <c r="A214" s="170" t="s">
        <v>275</v>
      </c>
      <c r="B214" s="171" t="s">
        <v>278</v>
      </c>
      <c r="C214" s="172" t="s">
        <v>276</v>
      </c>
      <c r="D214" s="173" t="s">
        <v>277</v>
      </c>
    </row>
    <row r="215" spans="1:4" ht="15.5" thickBot="1" x14ac:dyDescent="0.4">
      <c r="A215" s="174">
        <v>1</v>
      </c>
      <c r="B215" s="178">
        <f>1/(C11/A215)</f>
        <v>2.7471018076E-3</v>
      </c>
      <c r="C215" s="175">
        <f>D210</f>
        <v>3670.75</v>
      </c>
      <c r="D215" s="181">
        <f>C215*B215</f>
        <v>10.08392396</v>
      </c>
    </row>
  </sheetData>
  <mergeCells count="108">
    <mergeCell ref="A208:C208"/>
    <mergeCell ref="B209:C209"/>
    <mergeCell ref="A210:C210"/>
    <mergeCell ref="A213:D213"/>
    <mergeCell ref="B180:C180"/>
    <mergeCell ref="B182:C182"/>
    <mergeCell ref="A183:C183"/>
    <mergeCell ref="A184:D184"/>
    <mergeCell ref="A202:D202"/>
    <mergeCell ref="B203:C203"/>
    <mergeCell ref="B204:C204"/>
    <mergeCell ref="B205:C205"/>
    <mergeCell ref="B206:C206"/>
    <mergeCell ref="B207:C207"/>
    <mergeCell ref="A193:C193"/>
    <mergeCell ref="B194:D194"/>
    <mergeCell ref="A198:B198"/>
    <mergeCell ref="A199:B199"/>
    <mergeCell ref="A200:D200"/>
    <mergeCell ref="A201:C201"/>
    <mergeCell ref="A185:C185"/>
    <mergeCell ref="A186:D186"/>
    <mergeCell ref="A187:D187"/>
    <mergeCell ref="A188:D188"/>
    <mergeCell ref="A191:C191"/>
    <mergeCell ref="B176:C176"/>
    <mergeCell ref="B177:C177"/>
    <mergeCell ref="B178:C178"/>
    <mergeCell ref="B179:C179"/>
    <mergeCell ref="B181:C181"/>
    <mergeCell ref="A168:D168"/>
    <mergeCell ref="A169:B169"/>
    <mergeCell ref="A172:C172"/>
    <mergeCell ref="A173:D173"/>
    <mergeCell ref="A174:D174"/>
    <mergeCell ref="A175:D175"/>
    <mergeCell ref="A155:D155"/>
    <mergeCell ref="A156:B156"/>
    <mergeCell ref="A157:A164"/>
    <mergeCell ref="A165:B165"/>
    <mergeCell ref="A166:D166"/>
    <mergeCell ref="A167:B167"/>
    <mergeCell ref="A138:B138"/>
    <mergeCell ref="A139:D139"/>
    <mergeCell ref="A140:A144"/>
    <mergeCell ref="A145:B145"/>
    <mergeCell ref="A146:D146"/>
    <mergeCell ref="A154:B154"/>
    <mergeCell ref="A123:B123"/>
    <mergeCell ref="A124:B124"/>
    <mergeCell ref="A126:B126"/>
    <mergeCell ref="A127:D127"/>
    <mergeCell ref="A128:D128"/>
    <mergeCell ref="A129:D129"/>
    <mergeCell ref="A112:D112"/>
    <mergeCell ref="A116:B116"/>
    <mergeCell ref="A117:D117"/>
    <mergeCell ref="A118:B118"/>
    <mergeCell ref="A121:C121"/>
    <mergeCell ref="A122:B122"/>
    <mergeCell ref="A84:D84"/>
    <mergeCell ref="A85:D85"/>
    <mergeCell ref="A86:D86"/>
    <mergeCell ref="A99:B99"/>
    <mergeCell ref="A100:D100"/>
    <mergeCell ref="A111:B111"/>
    <mergeCell ref="A63:B63"/>
    <mergeCell ref="A64:D64"/>
    <mergeCell ref="A77:C77"/>
    <mergeCell ref="A78:D78"/>
    <mergeCell ref="A79:B79"/>
    <mergeCell ref="A83:C83"/>
    <mergeCell ref="A45:B45"/>
    <mergeCell ref="A46:D46"/>
    <mergeCell ref="A47:D47"/>
    <mergeCell ref="A48:D48"/>
    <mergeCell ref="A52:B52"/>
    <mergeCell ref="A53:D53"/>
    <mergeCell ref="A23:D23"/>
    <mergeCell ref="A24:D24"/>
    <mergeCell ref="A25:D25"/>
    <mergeCell ref="B26:C26"/>
    <mergeCell ref="A39:C39"/>
    <mergeCell ref="A40:D40"/>
    <mergeCell ref="C17:D17"/>
    <mergeCell ref="A18:D18"/>
    <mergeCell ref="B19:C19"/>
    <mergeCell ref="B20:C20"/>
    <mergeCell ref="B21:C21"/>
    <mergeCell ref="B22:C22"/>
    <mergeCell ref="C11:D11"/>
    <mergeCell ref="C12:D12"/>
    <mergeCell ref="A13:D13"/>
    <mergeCell ref="A14:D14"/>
    <mergeCell ref="A15:D15"/>
    <mergeCell ref="C16:D16"/>
    <mergeCell ref="A5:D5"/>
    <mergeCell ref="C6:D6"/>
    <mergeCell ref="C7:D7"/>
    <mergeCell ref="C8:D8"/>
    <mergeCell ref="C9:D9"/>
    <mergeCell ref="C10:D10"/>
    <mergeCell ref="A1:D1"/>
    <mergeCell ref="A2:B2"/>
    <mergeCell ref="C2:D2"/>
    <mergeCell ref="A3:B3"/>
    <mergeCell ref="C3:D3"/>
    <mergeCell ref="A4:D4"/>
  </mergeCells>
  <pageMargins left="0.51181102362204722" right="0.51181102362204722" top="0.78740157480314965" bottom="0.78740157480314965" header="0.31496062992125984" footer="0.31496062992125984"/>
  <pageSetup scale="21" orientation="portrait" horizontalDpi="30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760FD8-C7B2-4DCC-B607-8D11D04F7BE9}">
  <sheetPr>
    <pageSetUpPr fitToPage="1"/>
  </sheetPr>
  <dimension ref="A1:D215"/>
  <sheetViews>
    <sheetView view="pageBreakPreview" topLeftCell="A195" zoomScale="85" zoomScaleNormal="85" zoomScaleSheetLayoutView="85" workbookViewId="0">
      <selection activeCell="C75" sqref="C75"/>
    </sheetView>
  </sheetViews>
  <sheetFormatPr defaultColWidth="9.1796875" defaultRowHeight="15" customHeight="1" outlineLevelRow="3" x14ac:dyDescent="0.35"/>
  <cols>
    <col min="1" max="1" width="16.7265625" customWidth="1"/>
    <col min="2" max="2" width="76.81640625" customWidth="1"/>
    <col min="3" max="3" width="22.81640625" customWidth="1"/>
    <col min="4" max="4" width="23.54296875" customWidth="1"/>
  </cols>
  <sheetData>
    <row r="1" spans="1:4" x14ac:dyDescent="0.35">
      <c r="A1" s="683" t="s">
        <v>6</v>
      </c>
      <c r="B1" s="683"/>
      <c r="C1" s="683"/>
      <c r="D1" s="683"/>
    </row>
    <row r="2" spans="1:4" x14ac:dyDescent="0.35">
      <c r="A2" s="684" t="s">
        <v>12</v>
      </c>
      <c r="B2" s="684"/>
      <c r="C2" s="685" t="s">
        <v>519</v>
      </c>
      <c r="D2" s="686"/>
    </row>
    <row r="3" spans="1:4" x14ac:dyDescent="0.35">
      <c r="A3" s="684" t="s">
        <v>13</v>
      </c>
      <c r="B3" s="684"/>
      <c r="C3" s="685" t="s">
        <v>520</v>
      </c>
      <c r="D3" s="686"/>
    </row>
    <row r="4" spans="1:4" x14ac:dyDescent="0.35">
      <c r="A4" s="687"/>
      <c r="B4" s="687"/>
      <c r="C4" s="687"/>
      <c r="D4" s="687"/>
    </row>
    <row r="5" spans="1:4" x14ac:dyDescent="0.35">
      <c r="A5" s="687" t="s">
        <v>14</v>
      </c>
      <c r="B5" s="687"/>
      <c r="C5" s="687"/>
      <c r="D5" s="687"/>
    </row>
    <row r="6" spans="1:4" x14ac:dyDescent="0.35">
      <c r="A6" s="65" t="s">
        <v>15</v>
      </c>
      <c r="B6" s="63" t="s">
        <v>5</v>
      </c>
      <c r="C6" s="707" t="s">
        <v>144</v>
      </c>
      <c r="D6" s="708"/>
    </row>
    <row r="7" spans="1:4" x14ac:dyDescent="0.35">
      <c r="A7" s="65" t="s">
        <v>16</v>
      </c>
      <c r="B7" s="63" t="s">
        <v>4</v>
      </c>
      <c r="C7" s="690" t="s">
        <v>505</v>
      </c>
      <c r="D7" s="690"/>
    </row>
    <row r="8" spans="1:4" x14ac:dyDescent="0.35">
      <c r="A8" s="25" t="s">
        <v>17</v>
      </c>
      <c r="B8" s="26" t="s">
        <v>18</v>
      </c>
      <c r="C8" s="722" t="s">
        <v>521</v>
      </c>
      <c r="D8" s="723"/>
    </row>
    <row r="9" spans="1:4" x14ac:dyDescent="0.35">
      <c r="A9" s="65" t="s">
        <v>19</v>
      </c>
      <c r="B9" s="63" t="s">
        <v>20</v>
      </c>
      <c r="C9" s="700" t="s">
        <v>21</v>
      </c>
      <c r="D9" s="701"/>
    </row>
    <row r="10" spans="1:4" x14ac:dyDescent="0.35">
      <c r="A10" s="65" t="s">
        <v>22</v>
      </c>
      <c r="B10" s="63" t="s">
        <v>23</v>
      </c>
      <c r="C10" s="700" t="s">
        <v>262</v>
      </c>
      <c r="D10" s="701"/>
    </row>
    <row r="11" spans="1:4" x14ac:dyDescent="0.35">
      <c r="A11" s="65" t="s">
        <v>24</v>
      </c>
      <c r="B11" s="63" t="s">
        <v>251</v>
      </c>
      <c r="C11" s="691">
        <f>Resumo!F17/2</f>
        <v>364.02</v>
      </c>
      <c r="D11" s="692"/>
    </row>
    <row r="12" spans="1:4" x14ac:dyDescent="0.35">
      <c r="A12" s="65" t="s">
        <v>25</v>
      </c>
      <c r="B12" s="63" t="s">
        <v>26</v>
      </c>
      <c r="C12" s="693">
        <f>Resumo!I5</f>
        <v>20</v>
      </c>
      <c r="D12" s="694"/>
    </row>
    <row r="13" spans="1:4" x14ac:dyDescent="0.35">
      <c r="A13" s="695"/>
      <c r="B13" s="696"/>
      <c r="C13" s="696"/>
      <c r="D13" s="696"/>
    </row>
    <row r="14" spans="1:4" x14ac:dyDescent="0.35">
      <c r="A14" s="697" t="s">
        <v>27</v>
      </c>
      <c r="B14" s="698"/>
      <c r="C14" s="698"/>
      <c r="D14" s="699"/>
    </row>
    <row r="15" spans="1:4" x14ac:dyDescent="0.35">
      <c r="A15" s="690" t="s">
        <v>28</v>
      </c>
      <c r="B15" s="690"/>
      <c r="C15" s="690"/>
      <c r="D15" s="690"/>
    </row>
    <row r="16" spans="1:4" x14ac:dyDescent="0.35">
      <c r="A16" s="65">
        <v>1</v>
      </c>
      <c r="B16" s="63" t="s">
        <v>29</v>
      </c>
      <c r="C16" s="700" t="s">
        <v>266</v>
      </c>
      <c r="D16" s="701" t="s">
        <v>0</v>
      </c>
    </row>
    <row r="17" spans="1:4" x14ac:dyDescent="0.35">
      <c r="A17" s="65">
        <v>2</v>
      </c>
      <c r="B17" s="27" t="s">
        <v>30</v>
      </c>
      <c r="C17" s="688" t="s">
        <v>263</v>
      </c>
      <c r="D17" s="689"/>
    </row>
    <row r="18" spans="1:4" x14ac:dyDescent="0.35">
      <c r="A18" s="690" t="s">
        <v>31</v>
      </c>
      <c r="B18" s="690"/>
      <c r="C18" s="690"/>
      <c r="D18" s="690"/>
    </row>
    <row r="19" spans="1:4" x14ac:dyDescent="0.4">
      <c r="A19" s="65">
        <v>3</v>
      </c>
      <c r="B19" s="632" t="s">
        <v>3</v>
      </c>
      <c r="C19" s="633"/>
      <c r="D19" s="103">
        <v>1325</v>
      </c>
    </row>
    <row r="20" spans="1:4" x14ac:dyDescent="0.4">
      <c r="A20" s="65">
        <v>4</v>
      </c>
      <c r="B20" s="632" t="s">
        <v>252</v>
      </c>
      <c r="C20" s="633"/>
      <c r="D20" s="155">
        <v>220</v>
      </c>
    </row>
    <row r="21" spans="1:4" x14ac:dyDescent="0.35">
      <c r="A21" s="65">
        <v>5</v>
      </c>
      <c r="B21" s="632" t="s">
        <v>32</v>
      </c>
      <c r="C21" s="633"/>
      <c r="D21" s="73" t="s">
        <v>267</v>
      </c>
    </row>
    <row r="22" spans="1:4" x14ac:dyDescent="0.35">
      <c r="A22" s="65">
        <v>6</v>
      </c>
      <c r="B22" s="632" t="s">
        <v>2</v>
      </c>
      <c r="C22" s="633"/>
      <c r="D22" s="74">
        <v>44562</v>
      </c>
    </row>
    <row r="23" spans="1:4" x14ac:dyDescent="0.35">
      <c r="A23" s="700"/>
      <c r="B23" s="711"/>
      <c r="C23" s="711"/>
      <c r="D23" s="701"/>
    </row>
    <row r="24" spans="1:4" x14ac:dyDescent="0.35">
      <c r="A24" s="712" t="s">
        <v>33</v>
      </c>
      <c r="B24" s="712"/>
      <c r="C24" s="712"/>
      <c r="D24" s="712"/>
    </row>
    <row r="25" spans="1:4" x14ac:dyDescent="0.35">
      <c r="A25" s="713"/>
      <c r="B25" s="714"/>
      <c r="C25" s="714"/>
      <c r="D25" s="694"/>
    </row>
    <row r="26" spans="1:4" x14ac:dyDescent="0.35">
      <c r="A26" s="64">
        <v>1</v>
      </c>
      <c r="B26" s="634" t="s">
        <v>34</v>
      </c>
      <c r="C26" s="636"/>
      <c r="D26" s="64" t="s">
        <v>35</v>
      </c>
    </row>
    <row r="27" spans="1:4" outlineLevel="1" x14ac:dyDescent="0.35">
      <c r="A27" s="65" t="s">
        <v>36</v>
      </c>
      <c r="B27" s="63" t="s">
        <v>146</v>
      </c>
      <c r="C27" s="71">
        <f>'SR - ASG int'!C27</f>
        <v>220</v>
      </c>
      <c r="D27" s="104">
        <f>D19/220*C27</f>
        <v>1325</v>
      </c>
    </row>
    <row r="28" spans="1:4" outlineLevel="1" x14ac:dyDescent="0.35">
      <c r="A28" s="65" t="s">
        <v>16</v>
      </c>
      <c r="B28" s="63" t="s">
        <v>37</v>
      </c>
      <c r="C28" s="28">
        <v>0.1</v>
      </c>
      <c r="D28" s="104">
        <f>D27*10%</f>
        <v>132.5</v>
      </c>
    </row>
    <row r="29" spans="1:4" outlineLevel="1" x14ac:dyDescent="0.35">
      <c r="A29" s="65" t="s">
        <v>17</v>
      </c>
      <c r="B29" s="63" t="s">
        <v>38</v>
      </c>
      <c r="C29" s="28">
        <v>0.2</v>
      </c>
      <c r="D29" s="104">
        <v>0</v>
      </c>
    </row>
    <row r="30" spans="1:4" outlineLevel="1" x14ac:dyDescent="0.35">
      <c r="A30" s="65" t="s">
        <v>19</v>
      </c>
      <c r="B30" s="63" t="s">
        <v>148</v>
      </c>
      <c r="C30" s="156">
        <v>0</v>
      </c>
      <c r="D30" s="105">
        <f>SUM(D31:D32)</f>
        <v>0</v>
      </c>
    </row>
    <row r="31" spans="1:4" outlineLevel="2" x14ac:dyDescent="0.35">
      <c r="A31" s="78" t="s">
        <v>111</v>
      </c>
      <c r="B31" s="63" t="s">
        <v>149</v>
      </c>
      <c r="C31" s="79">
        <v>0.2</v>
      </c>
      <c r="D31" s="105">
        <f>(SUM(D27:D29)/C27)*C31*15*C30</f>
        <v>0</v>
      </c>
    </row>
    <row r="32" spans="1:4" outlineLevel="2" x14ac:dyDescent="0.35">
      <c r="A32" s="78" t="s">
        <v>112</v>
      </c>
      <c r="B32" s="63" t="s">
        <v>150</v>
      </c>
      <c r="C32" s="80">
        <f>C30*(60/52.5)/8</f>
        <v>0</v>
      </c>
      <c r="D32" s="105">
        <f>(SUM(D27:D29)/C27)*(C31)*15*C32</f>
        <v>0</v>
      </c>
    </row>
    <row r="33" spans="1:4" outlineLevel="1" x14ac:dyDescent="0.35">
      <c r="A33" s="65" t="s">
        <v>22</v>
      </c>
      <c r="B33" s="63" t="s">
        <v>151</v>
      </c>
      <c r="C33" s="28" t="s">
        <v>152</v>
      </c>
      <c r="D33" s="1">
        <f>SUM(D34:D37)</f>
        <v>0</v>
      </c>
    </row>
    <row r="34" spans="1:4" outlineLevel="2" x14ac:dyDescent="0.35">
      <c r="A34" s="81" t="s">
        <v>153</v>
      </c>
      <c r="B34" s="82" t="s">
        <v>154</v>
      </c>
      <c r="C34" s="83">
        <v>0</v>
      </c>
      <c r="D34" s="106">
        <f>(SUM($D$27:$D$29)/$C$27)*C34*1.5</f>
        <v>0</v>
      </c>
    </row>
    <row r="35" spans="1:4" outlineLevel="2" x14ac:dyDescent="0.35">
      <c r="A35" s="81" t="s">
        <v>155</v>
      </c>
      <c r="B35" s="84" t="s">
        <v>156</v>
      </c>
      <c r="C35" s="85">
        <v>0</v>
      </c>
      <c r="D35" s="106">
        <f>(SUM($D$27:$D$29)/$C$27)*C35*((60/52.5)*1.2*1.5)</f>
        <v>0</v>
      </c>
    </row>
    <row r="36" spans="1:4" outlineLevel="2" x14ac:dyDescent="0.35">
      <c r="A36" s="81" t="s">
        <v>157</v>
      </c>
      <c r="B36" s="82" t="s">
        <v>158</v>
      </c>
      <c r="C36" s="86">
        <f>C34*0.1429</f>
        <v>0</v>
      </c>
      <c r="D36" s="106">
        <f>(SUM($D$27:$D$29)/$C$27)*C36*2</f>
        <v>0</v>
      </c>
    </row>
    <row r="37" spans="1:4" outlineLevel="2" x14ac:dyDescent="0.35">
      <c r="A37" s="81" t="s">
        <v>159</v>
      </c>
      <c r="B37" s="82" t="s">
        <v>160</v>
      </c>
      <c r="C37" s="86">
        <f>C34*0.1429</f>
        <v>0</v>
      </c>
      <c r="D37" s="106">
        <f>(SUM($D$27:$D$29)/$C$27)*C37*((60/52.5)*1.2*2)</f>
        <v>0</v>
      </c>
    </row>
    <row r="38" spans="1:4" outlineLevel="1" x14ac:dyDescent="0.35">
      <c r="A38" s="65" t="s">
        <v>24</v>
      </c>
      <c r="B38" s="55" t="s">
        <v>527</v>
      </c>
      <c r="C38" s="56">
        <v>0</v>
      </c>
      <c r="D38" s="107">
        <v>58.67</v>
      </c>
    </row>
    <row r="39" spans="1:4" x14ac:dyDescent="0.35">
      <c r="A39" s="634" t="s">
        <v>40</v>
      </c>
      <c r="B39" s="635"/>
      <c r="C39" s="636"/>
      <c r="D39" s="108">
        <f>SUM(D27:D30,D33,D38)</f>
        <v>1516.17</v>
      </c>
    </row>
    <row r="40" spans="1:4" x14ac:dyDescent="0.35">
      <c r="A40" s="650"/>
      <c r="B40" s="650"/>
      <c r="C40" s="650"/>
      <c r="D40" s="650"/>
    </row>
    <row r="41" spans="1:4" outlineLevel="1" x14ac:dyDescent="0.35">
      <c r="A41" s="87" t="s">
        <v>161</v>
      </c>
      <c r="B41" s="109" t="s">
        <v>162</v>
      </c>
      <c r="C41" s="110" t="s">
        <v>163</v>
      </c>
      <c r="D41" s="110" t="s">
        <v>35</v>
      </c>
    </row>
    <row r="42" spans="1:4" outlineLevel="1" x14ac:dyDescent="0.35">
      <c r="A42" s="111" t="s">
        <v>36</v>
      </c>
      <c r="B42" s="27" t="s">
        <v>164</v>
      </c>
      <c r="C42" s="88">
        <v>0</v>
      </c>
      <c r="D42" s="112">
        <f>(SUM(D27)/$C$27)*C42*1.5</f>
        <v>0</v>
      </c>
    </row>
    <row r="43" spans="1:4" outlineLevel="1" x14ac:dyDescent="0.35">
      <c r="A43" s="113" t="s">
        <v>17</v>
      </c>
      <c r="B43" s="114" t="s">
        <v>165</v>
      </c>
      <c r="C43" s="115">
        <v>0</v>
      </c>
      <c r="D43" s="104">
        <f>C43*177</f>
        <v>0</v>
      </c>
    </row>
    <row r="44" spans="1:4" outlineLevel="1" x14ac:dyDescent="0.35">
      <c r="A44" s="65" t="s">
        <v>19</v>
      </c>
      <c r="B44" s="55" t="s">
        <v>39</v>
      </c>
      <c r="C44" s="56">
        <v>0</v>
      </c>
      <c r="D44" s="107">
        <v>0</v>
      </c>
    </row>
    <row r="45" spans="1:4" x14ac:dyDescent="0.35">
      <c r="A45" s="644" t="s">
        <v>166</v>
      </c>
      <c r="B45" s="645"/>
      <c r="C45" s="30">
        <f>D45/D39</f>
        <v>0</v>
      </c>
      <c r="D45" s="116">
        <f>SUM(D42:D43)</f>
        <v>0</v>
      </c>
    </row>
    <row r="46" spans="1:4" x14ac:dyDescent="0.35">
      <c r="A46" s="646"/>
      <c r="B46" s="647"/>
      <c r="C46" s="647"/>
      <c r="D46" s="648"/>
    </row>
    <row r="47" spans="1:4" x14ac:dyDescent="0.35">
      <c r="A47" s="663" t="s">
        <v>41</v>
      </c>
      <c r="B47" s="664"/>
      <c r="C47" s="664"/>
      <c r="D47" s="665"/>
    </row>
    <row r="48" spans="1:4" outlineLevel="1" x14ac:dyDescent="0.35">
      <c r="A48" s="646"/>
      <c r="B48" s="647"/>
      <c r="C48" s="647"/>
      <c r="D48" s="648"/>
    </row>
    <row r="49" spans="1:4" outlineLevel="1" x14ac:dyDescent="0.35">
      <c r="A49" s="110" t="s">
        <v>42</v>
      </c>
      <c r="B49" s="109" t="s">
        <v>43</v>
      </c>
      <c r="C49" s="110" t="s">
        <v>44</v>
      </c>
      <c r="D49" s="110" t="s">
        <v>35</v>
      </c>
    </row>
    <row r="50" spans="1:4" outlineLevel="2" x14ac:dyDescent="0.35">
      <c r="A50" s="113" t="s">
        <v>36</v>
      </c>
      <c r="B50" s="114" t="s">
        <v>45</v>
      </c>
      <c r="C50" s="29">
        <f>1/12</f>
        <v>8.3299999999999999E-2</v>
      </c>
      <c r="D50" s="104">
        <f>C50*D39</f>
        <v>126.3</v>
      </c>
    </row>
    <row r="51" spans="1:4" outlineLevel="2" x14ac:dyDescent="0.35">
      <c r="A51" s="113" t="s">
        <v>16</v>
      </c>
      <c r="B51" s="114" t="s">
        <v>113</v>
      </c>
      <c r="C51" s="29">
        <f>IF(C12&gt;60,(1/C12/3)*5,IF(C12&gt;48,(1/C12/3)*4,IF(C12&gt;36,(1/C12/3)*3,IF(C12&gt;24,(1/C12/3)*2,IF(C12&gt;12,(1/C12/3)*1,0)))))</f>
        <v>1.67E-2</v>
      </c>
      <c r="D51" s="104">
        <f>C51*D39</f>
        <v>25.32</v>
      </c>
    </row>
    <row r="52" spans="1:4" outlineLevel="1" x14ac:dyDescent="0.35">
      <c r="A52" s="644" t="s">
        <v>11</v>
      </c>
      <c r="B52" s="645"/>
      <c r="C52" s="30">
        <f>SUM(C50:C51)</f>
        <v>0.1</v>
      </c>
      <c r="D52" s="116">
        <f>SUM(D50:D51)</f>
        <v>151.62</v>
      </c>
    </row>
    <row r="53" spans="1:4" outlineLevel="1" x14ac:dyDescent="0.35">
      <c r="A53" s="646"/>
      <c r="B53" s="647"/>
      <c r="C53" s="647"/>
      <c r="D53" s="648"/>
    </row>
    <row r="54" spans="1:4" outlineLevel="1" x14ac:dyDescent="0.35">
      <c r="A54" s="110" t="s">
        <v>46</v>
      </c>
      <c r="B54" s="117" t="s">
        <v>47</v>
      </c>
      <c r="C54" s="110" t="s">
        <v>44</v>
      </c>
      <c r="D54" s="118" t="s">
        <v>35</v>
      </c>
    </row>
    <row r="55" spans="1:4" outlineLevel="2" x14ac:dyDescent="0.35">
      <c r="A55" s="111" t="s">
        <v>36</v>
      </c>
      <c r="B55" s="31" t="s">
        <v>48</v>
      </c>
      <c r="C55" s="32">
        <v>0.2</v>
      </c>
      <c r="D55" s="104">
        <f t="shared" ref="D55:D62" si="0">C55*($D$39+$D$52)</f>
        <v>333.56</v>
      </c>
    </row>
    <row r="56" spans="1:4" outlineLevel="2" x14ac:dyDescent="0.35">
      <c r="A56" s="111" t="s">
        <v>16</v>
      </c>
      <c r="B56" s="31" t="s">
        <v>49</v>
      </c>
      <c r="C56" s="32">
        <v>2.5000000000000001E-2</v>
      </c>
      <c r="D56" s="104">
        <f t="shared" si="0"/>
        <v>41.69</v>
      </c>
    </row>
    <row r="57" spans="1:4" outlineLevel="2" x14ac:dyDescent="0.35">
      <c r="A57" s="111" t="s">
        <v>17</v>
      </c>
      <c r="B57" s="31" t="s">
        <v>167</v>
      </c>
      <c r="C57" s="66">
        <v>0.03</v>
      </c>
      <c r="D57" s="104">
        <f t="shared" si="0"/>
        <v>50.03</v>
      </c>
    </row>
    <row r="58" spans="1:4" outlineLevel="2" x14ac:dyDescent="0.35">
      <c r="A58" s="111" t="s">
        <v>19</v>
      </c>
      <c r="B58" s="31" t="s">
        <v>168</v>
      </c>
      <c r="C58" s="32">
        <v>1.4999999999999999E-2</v>
      </c>
      <c r="D58" s="104">
        <f t="shared" si="0"/>
        <v>25.02</v>
      </c>
    </row>
    <row r="59" spans="1:4" outlineLevel="2" x14ac:dyDescent="0.35">
      <c r="A59" s="111" t="s">
        <v>22</v>
      </c>
      <c r="B59" s="31" t="s">
        <v>169</v>
      </c>
      <c r="C59" s="32">
        <v>0.01</v>
      </c>
      <c r="D59" s="104">
        <f t="shared" si="0"/>
        <v>16.68</v>
      </c>
    </row>
    <row r="60" spans="1:4" outlineLevel="2" x14ac:dyDescent="0.35">
      <c r="A60" s="111" t="s">
        <v>24</v>
      </c>
      <c r="B60" s="31" t="s">
        <v>50</v>
      </c>
      <c r="C60" s="32">
        <v>6.0000000000000001E-3</v>
      </c>
      <c r="D60" s="104">
        <f t="shared" si="0"/>
        <v>10.01</v>
      </c>
    </row>
    <row r="61" spans="1:4" outlineLevel="2" x14ac:dyDescent="0.35">
      <c r="A61" s="111" t="s">
        <v>25</v>
      </c>
      <c r="B61" s="31" t="s">
        <v>51</v>
      </c>
      <c r="C61" s="32">
        <v>2E-3</v>
      </c>
      <c r="D61" s="104">
        <f t="shared" si="0"/>
        <v>3.34</v>
      </c>
    </row>
    <row r="62" spans="1:4" outlineLevel="2" x14ac:dyDescent="0.35">
      <c r="A62" s="111" t="s">
        <v>52</v>
      </c>
      <c r="B62" s="31" t="s">
        <v>53</v>
      </c>
      <c r="C62" s="32">
        <v>0.08</v>
      </c>
      <c r="D62" s="104">
        <f t="shared" si="0"/>
        <v>133.41999999999999</v>
      </c>
    </row>
    <row r="63" spans="1:4" outlineLevel="1" x14ac:dyDescent="0.35">
      <c r="A63" s="644" t="s">
        <v>11</v>
      </c>
      <c r="B63" s="645"/>
      <c r="C63" s="33">
        <f>SUM(C55:C62)</f>
        <v>0.36799999999999999</v>
      </c>
      <c r="D63" s="119">
        <f>SUM(D55:D62)</f>
        <v>613.75</v>
      </c>
    </row>
    <row r="64" spans="1:4" outlineLevel="1" x14ac:dyDescent="0.35">
      <c r="A64" s="646"/>
      <c r="B64" s="647"/>
      <c r="C64" s="647"/>
      <c r="D64" s="648"/>
    </row>
    <row r="65" spans="1:4" outlineLevel="1" x14ac:dyDescent="0.35">
      <c r="A65" s="110" t="s">
        <v>54</v>
      </c>
      <c r="B65" s="117" t="s">
        <v>55</v>
      </c>
      <c r="C65" s="110" t="s">
        <v>56</v>
      </c>
      <c r="D65" s="110" t="s">
        <v>35</v>
      </c>
    </row>
    <row r="66" spans="1:4" outlineLevel="2" x14ac:dyDescent="0.35">
      <c r="A66" s="111" t="s">
        <v>36</v>
      </c>
      <c r="B66" s="31" t="s">
        <v>57</v>
      </c>
      <c r="C66" s="120">
        <f>NVI!C66</f>
        <v>0</v>
      </c>
      <c r="D66" s="121">
        <f>IF(D67+D68&gt;0,(D67+D68),0)</f>
        <v>0</v>
      </c>
    </row>
    <row r="67" spans="1:4" outlineLevel="3" x14ac:dyDescent="0.35">
      <c r="A67" s="122" t="s">
        <v>110</v>
      </c>
      <c r="B67" s="31" t="s">
        <v>170</v>
      </c>
      <c r="C67" s="123">
        <v>22</v>
      </c>
      <c r="D67" s="124">
        <f>C66*C67*2</f>
        <v>0</v>
      </c>
    </row>
    <row r="68" spans="1:4" outlineLevel="3" x14ac:dyDescent="0.35">
      <c r="A68" s="122" t="s">
        <v>114</v>
      </c>
      <c r="B68" s="31" t="s">
        <v>171</v>
      </c>
      <c r="C68" s="125">
        <v>0.06</v>
      </c>
      <c r="D68" s="124">
        <f>-D27*C68</f>
        <v>-79.5</v>
      </c>
    </row>
    <row r="69" spans="1:4" outlineLevel="2" x14ac:dyDescent="0.35">
      <c r="A69" s="111" t="s">
        <v>16</v>
      </c>
      <c r="B69" s="31" t="s">
        <v>58</v>
      </c>
      <c r="C69" s="382">
        <f>290/22</f>
        <v>13.182</v>
      </c>
      <c r="D69" s="121">
        <f>D70+D71</f>
        <v>290</v>
      </c>
    </row>
    <row r="70" spans="1:4" outlineLevel="3" x14ac:dyDescent="0.35">
      <c r="A70" s="122" t="s">
        <v>90</v>
      </c>
      <c r="B70" s="31" t="s">
        <v>172</v>
      </c>
      <c r="C70" s="123">
        <v>22</v>
      </c>
      <c r="D70" s="124">
        <f>C69*C70</f>
        <v>290</v>
      </c>
    </row>
    <row r="71" spans="1:4" outlineLevel="3" x14ac:dyDescent="0.35">
      <c r="A71" s="122" t="s">
        <v>115</v>
      </c>
      <c r="B71" s="31" t="s">
        <v>91</v>
      </c>
      <c r="C71" s="127">
        <f>'SR - ASG int'!C71</f>
        <v>0</v>
      </c>
      <c r="D71" s="124">
        <f>D70*C71</f>
        <v>0</v>
      </c>
    </row>
    <row r="72" spans="1:4" outlineLevel="2" x14ac:dyDescent="0.35">
      <c r="A72" s="111" t="s">
        <v>17</v>
      </c>
      <c r="B72" s="75" t="s">
        <v>291</v>
      </c>
      <c r="C72" s="126">
        <f>'SR - ASG int'!C72</f>
        <v>9.6999999999999993</v>
      </c>
      <c r="D72" s="129">
        <f>C72</f>
        <v>9.6999999999999993</v>
      </c>
    </row>
    <row r="73" spans="1:4" outlineLevel="2" x14ac:dyDescent="0.35">
      <c r="A73" s="111" t="s">
        <v>19</v>
      </c>
      <c r="B73" s="76" t="s">
        <v>293</v>
      </c>
      <c r="C73" s="126">
        <f>140*3</f>
        <v>420</v>
      </c>
      <c r="D73" s="129">
        <f>C73*C152</f>
        <v>0.84</v>
      </c>
    </row>
    <row r="74" spans="1:4" outlineLevel="2" x14ac:dyDescent="0.35">
      <c r="A74" s="111" t="s">
        <v>22</v>
      </c>
      <c r="B74" s="75" t="s">
        <v>292</v>
      </c>
      <c r="C74" s="126">
        <v>21</v>
      </c>
      <c r="D74" s="129">
        <f>C74</f>
        <v>21</v>
      </c>
    </row>
    <row r="75" spans="1:4" outlineLevel="2" x14ac:dyDescent="0.35">
      <c r="A75" s="111" t="s">
        <v>24</v>
      </c>
      <c r="B75" s="75" t="s">
        <v>553</v>
      </c>
      <c r="C75" s="128">
        <v>0</v>
      </c>
      <c r="D75" s="129">
        <v>97</v>
      </c>
    </row>
    <row r="76" spans="1:4" outlineLevel="2" x14ac:dyDescent="0.35">
      <c r="A76" s="111" t="s">
        <v>25</v>
      </c>
      <c r="B76" s="75" t="s">
        <v>39</v>
      </c>
      <c r="C76" s="126">
        <v>0</v>
      </c>
      <c r="D76" s="130">
        <f>C76</f>
        <v>0</v>
      </c>
    </row>
    <row r="77" spans="1:4" outlineLevel="1" x14ac:dyDescent="0.35">
      <c r="A77" s="644" t="s">
        <v>59</v>
      </c>
      <c r="B77" s="657"/>
      <c r="C77" s="645"/>
      <c r="D77" s="116">
        <f>SUM(D66,D69,D72:D76)</f>
        <v>418.54</v>
      </c>
    </row>
    <row r="78" spans="1:4" outlineLevel="1" x14ac:dyDescent="0.35">
      <c r="A78" s="646"/>
      <c r="B78" s="647"/>
      <c r="C78" s="647"/>
      <c r="D78" s="648"/>
    </row>
    <row r="79" spans="1:4" outlineLevel="1" x14ac:dyDescent="0.35">
      <c r="A79" s="661" t="s">
        <v>60</v>
      </c>
      <c r="B79" s="662"/>
      <c r="C79" s="110" t="s">
        <v>44</v>
      </c>
      <c r="D79" s="110" t="s">
        <v>35</v>
      </c>
    </row>
    <row r="80" spans="1:4" outlineLevel="1" x14ac:dyDescent="0.35">
      <c r="A80" s="111" t="s">
        <v>61</v>
      </c>
      <c r="B80" s="31" t="s">
        <v>43</v>
      </c>
      <c r="C80" s="34">
        <f>C52</f>
        <v>0.1</v>
      </c>
      <c r="D80" s="104">
        <f>D52</f>
        <v>151.62</v>
      </c>
    </row>
    <row r="81" spans="1:4" outlineLevel="1" x14ac:dyDescent="0.35">
      <c r="A81" s="111" t="s">
        <v>46</v>
      </c>
      <c r="B81" s="31" t="s">
        <v>47</v>
      </c>
      <c r="C81" s="34">
        <f>C63</f>
        <v>0.36799999999999999</v>
      </c>
      <c r="D81" s="104">
        <f>D63</f>
        <v>613.75</v>
      </c>
    </row>
    <row r="82" spans="1:4" outlineLevel="1" x14ac:dyDescent="0.35">
      <c r="A82" s="111" t="s">
        <v>62</v>
      </c>
      <c r="B82" s="31" t="s">
        <v>55</v>
      </c>
      <c r="C82" s="34">
        <f>D77/D39</f>
        <v>0.27610000000000001</v>
      </c>
      <c r="D82" s="104">
        <f>D77</f>
        <v>418.54</v>
      </c>
    </row>
    <row r="83" spans="1:4" x14ac:dyDescent="0.35">
      <c r="A83" s="644" t="s">
        <v>11</v>
      </c>
      <c r="B83" s="657"/>
      <c r="C83" s="645"/>
      <c r="D83" s="116">
        <f>SUM(D80:D82)</f>
        <v>1183.9100000000001</v>
      </c>
    </row>
    <row r="84" spans="1:4" x14ac:dyDescent="0.35">
      <c r="A84" s="646"/>
      <c r="B84" s="647"/>
      <c r="C84" s="647"/>
      <c r="D84" s="648"/>
    </row>
    <row r="85" spans="1:4" x14ac:dyDescent="0.35">
      <c r="A85" s="680" t="s">
        <v>173</v>
      </c>
      <c r="B85" s="681"/>
      <c r="C85" s="681"/>
      <c r="D85" s="682"/>
    </row>
    <row r="86" spans="1:4" outlineLevel="1" x14ac:dyDescent="0.35">
      <c r="A86" s="646"/>
      <c r="B86" s="647"/>
      <c r="C86" s="647"/>
      <c r="D86" s="648"/>
    </row>
    <row r="87" spans="1:4" outlineLevel="1" x14ac:dyDescent="0.35">
      <c r="A87" s="64" t="s">
        <v>174</v>
      </c>
      <c r="B87" s="109" t="s">
        <v>175</v>
      </c>
      <c r="C87" s="110" t="s">
        <v>44</v>
      </c>
      <c r="D87" s="110" t="s">
        <v>35</v>
      </c>
    </row>
    <row r="88" spans="1:4" outlineLevel="2" x14ac:dyDescent="0.35">
      <c r="A88" s="35" t="s">
        <v>36</v>
      </c>
      <c r="B88" s="36" t="s">
        <v>176</v>
      </c>
      <c r="C88" s="35" t="s">
        <v>152</v>
      </c>
      <c r="D88" s="131">
        <f>IF(C99&gt;1,SUM(D89:D92)*2,SUM(D89:D92))</f>
        <v>2136.5500000000002</v>
      </c>
    </row>
    <row r="89" spans="1:4" outlineLevel="3" x14ac:dyDescent="0.35">
      <c r="A89" s="37" t="s">
        <v>177</v>
      </c>
      <c r="B89" s="38" t="s">
        <v>178</v>
      </c>
      <c r="C89" s="35">
        <f>(IF(C12&gt;60,45,IF(C12&gt;48,42,IF(C12&gt;36,39,IF(C12&gt;24,36,IF(C12&gt;12,33,30)))))/30)</f>
        <v>1.1000000000000001</v>
      </c>
      <c r="D89" s="131">
        <f>D39*C89</f>
        <v>1667.79</v>
      </c>
    </row>
    <row r="90" spans="1:4" outlineLevel="3" x14ac:dyDescent="0.35">
      <c r="A90" s="37" t="s">
        <v>179</v>
      </c>
      <c r="B90" s="38" t="s">
        <v>180</v>
      </c>
      <c r="C90" s="29">
        <f>1/12</f>
        <v>8.3299999999999999E-2</v>
      </c>
      <c r="D90" s="131">
        <f>C90*D89</f>
        <v>138.93</v>
      </c>
    </row>
    <row r="91" spans="1:4" outlineLevel="3" x14ac:dyDescent="0.35">
      <c r="A91" s="37" t="s">
        <v>181</v>
      </c>
      <c r="B91" s="38" t="s">
        <v>182</v>
      </c>
      <c r="C91" s="29">
        <f>(1/12)+(1/12/3)</f>
        <v>0.1111</v>
      </c>
      <c r="D91" s="132">
        <f>C91*D89</f>
        <v>185.29</v>
      </c>
    </row>
    <row r="92" spans="1:4" outlineLevel="3" x14ac:dyDescent="0.35">
      <c r="A92" s="37" t="s">
        <v>183</v>
      </c>
      <c r="B92" s="38" t="s">
        <v>184</v>
      </c>
      <c r="C92" s="39">
        <v>0.08</v>
      </c>
      <c r="D92" s="131">
        <f>SUM(D89:D90)*C92</f>
        <v>144.54</v>
      </c>
    </row>
    <row r="93" spans="1:4" outlineLevel="2" x14ac:dyDescent="0.35">
      <c r="A93" s="35" t="s">
        <v>16</v>
      </c>
      <c r="B93" s="36" t="s">
        <v>185</v>
      </c>
      <c r="C93" s="40">
        <v>0.4</v>
      </c>
      <c r="D93" s="131">
        <f>C93*D94</f>
        <v>1069</v>
      </c>
    </row>
    <row r="94" spans="1:4" outlineLevel="3" x14ac:dyDescent="0.35">
      <c r="A94" s="35" t="s">
        <v>186</v>
      </c>
      <c r="B94" s="36" t="s">
        <v>187</v>
      </c>
      <c r="C94" s="40">
        <f>C62</f>
        <v>0.08</v>
      </c>
      <c r="D94" s="131">
        <f>C94*D95</f>
        <v>2672.5</v>
      </c>
    </row>
    <row r="95" spans="1:4" outlineLevel="3" x14ac:dyDescent="0.35">
      <c r="A95" s="35" t="s">
        <v>188</v>
      </c>
      <c r="B95" s="41" t="s">
        <v>116</v>
      </c>
      <c r="C95" s="42" t="s">
        <v>152</v>
      </c>
      <c r="D95" s="132">
        <f>SUM(D96:D98)</f>
        <v>33406.28</v>
      </c>
    </row>
    <row r="96" spans="1:4" outlineLevel="3" x14ac:dyDescent="0.35">
      <c r="A96" s="37" t="s">
        <v>189</v>
      </c>
      <c r="B96" s="38" t="s">
        <v>190</v>
      </c>
      <c r="C96" s="43">
        <f>C12-C98</f>
        <v>19</v>
      </c>
      <c r="D96" s="131">
        <f>D39*C96</f>
        <v>28807.23</v>
      </c>
    </row>
    <row r="97" spans="1:4" outlineLevel="3" x14ac:dyDescent="0.35">
      <c r="A97" s="37" t="s">
        <v>191</v>
      </c>
      <c r="B97" s="38" t="s">
        <v>192</v>
      </c>
      <c r="C97" s="44">
        <f>C12/12</f>
        <v>1.7</v>
      </c>
      <c r="D97" s="131">
        <f>D39*C97</f>
        <v>2577.4899999999998</v>
      </c>
    </row>
    <row r="98" spans="1:4" outlineLevel="3" x14ac:dyDescent="0.35">
      <c r="A98" s="37" t="s">
        <v>193</v>
      </c>
      <c r="B98" s="38" t="s">
        <v>194</v>
      </c>
      <c r="C98" s="42">
        <f>IF(C12&gt;60,5,IF(C12&gt;48,4,IF(C12&gt;36,3,IF(C12&gt;24,2,IF(C12&gt;12,1,0)))))</f>
        <v>1</v>
      </c>
      <c r="D98" s="132">
        <f>D39*C98*1.33333333333333</f>
        <v>2021.56</v>
      </c>
    </row>
    <row r="99" spans="1:4" outlineLevel="1" x14ac:dyDescent="0.35">
      <c r="A99" s="644" t="s">
        <v>11</v>
      </c>
      <c r="B99" s="645"/>
      <c r="C99" s="67">
        <f>'SR - ASG int'!C99</f>
        <v>5.5500000000000001E-2</v>
      </c>
      <c r="D99" s="116">
        <f>IF(C99&gt;1,D88+D93,(D88+D93)*C99)</f>
        <v>177.91</v>
      </c>
    </row>
    <row r="100" spans="1:4" outlineLevel="1" x14ac:dyDescent="0.35">
      <c r="A100" s="658"/>
      <c r="B100" s="659"/>
      <c r="C100" s="659"/>
      <c r="D100" s="660"/>
    </row>
    <row r="101" spans="1:4" outlineLevel="1" x14ac:dyDescent="0.35">
      <c r="A101" s="64" t="s">
        <v>195</v>
      </c>
      <c r="B101" s="109" t="s">
        <v>196</v>
      </c>
      <c r="C101" s="110" t="s">
        <v>44</v>
      </c>
      <c r="D101" s="110" t="s">
        <v>35</v>
      </c>
    </row>
    <row r="102" spans="1:4" outlineLevel="2" x14ac:dyDescent="0.35">
      <c r="A102" s="35" t="s">
        <v>36</v>
      </c>
      <c r="B102" s="41" t="s">
        <v>197</v>
      </c>
      <c r="C102" s="45">
        <f>IF(C111&gt;1,(1/30*7)*2,(1/30*7))</f>
        <v>0.23330000000000001</v>
      </c>
      <c r="D102" s="132">
        <f>C102*SUM(D103:D107)</f>
        <v>661.15</v>
      </c>
    </row>
    <row r="103" spans="1:4" outlineLevel="3" x14ac:dyDescent="0.35">
      <c r="A103" s="37" t="s">
        <v>177</v>
      </c>
      <c r="B103" s="38" t="s">
        <v>198</v>
      </c>
      <c r="C103" s="35">
        <v>1</v>
      </c>
      <c r="D103" s="131">
        <f>D39</f>
        <v>1516.17</v>
      </c>
    </row>
    <row r="104" spans="1:4" outlineLevel="3" x14ac:dyDescent="0.35">
      <c r="A104" s="37" t="s">
        <v>179</v>
      </c>
      <c r="B104" s="38" t="s">
        <v>199</v>
      </c>
      <c r="C104" s="29">
        <f>1/12</f>
        <v>8.3299999999999999E-2</v>
      </c>
      <c r="D104" s="131">
        <f>C104*D103</f>
        <v>126.3</v>
      </c>
    </row>
    <row r="105" spans="1:4" outlineLevel="3" x14ac:dyDescent="0.35">
      <c r="A105" s="37" t="s">
        <v>181</v>
      </c>
      <c r="B105" s="38" t="s">
        <v>200</v>
      </c>
      <c r="C105" s="29">
        <f>(1/12)+(1/12/3)</f>
        <v>0.1111</v>
      </c>
      <c r="D105" s="131">
        <f>C105*D103</f>
        <v>168.45</v>
      </c>
    </row>
    <row r="106" spans="1:4" outlineLevel="3" x14ac:dyDescent="0.35">
      <c r="A106" s="37" t="s">
        <v>183</v>
      </c>
      <c r="B106" s="46" t="s">
        <v>63</v>
      </c>
      <c r="C106" s="47">
        <f>C63</f>
        <v>0.36799999999999999</v>
      </c>
      <c r="D106" s="132">
        <f>C106*(D103+D104)</f>
        <v>604.42999999999995</v>
      </c>
    </row>
    <row r="107" spans="1:4" outlineLevel="3" x14ac:dyDescent="0.35">
      <c r="A107" s="37" t="s">
        <v>201</v>
      </c>
      <c r="B107" s="46" t="s">
        <v>202</v>
      </c>
      <c r="C107" s="42">
        <v>1</v>
      </c>
      <c r="D107" s="132">
        <f>D77</f>
        <v>418.54</v>
      </c>
    </row>
    <row r="108" spans="1:4" outlineLevel="2" x14ac:dyDescent="0.35">
      <c r="A108" s="35" t="s">
        <v>16</v>
      </c>
      <c r="B108" s="36" t="s">
        <v>203</v>
      </c>
      <c r="C108" s="40">
        <v>0.4</v>
      </c>
      <c r="D108" s="131">
        <f>C108*D109</f>
        <v>1069</v>
      </c>
    </row>
    <row r="109" spans="1:4" outlineLevel="2" x14ac:dyDescent="0.35">
      <c r="A109" s="35" t="s">
        <v>186</v>
      </c>
      <c r="B109" s="36" t="s">
        <v>187</v>
      </c>
      <c r="C109" s="40">
        <f>C62</f>
        <v>0.08</v>
      </c>
      <c r="D109" s="131">
        <f>C109*D110</f>
        <v>2672.5</v>
      </c>
    </row>
    <row r="110" spans="1:4" outlineLevel="2" x14ac:dyDescent="0.35">
      <c r="A110" s="35" t="s">
        <v>188</v>
      </c>
      <c r="B110" s="41" t="s">
        <v>116</v>
      </c>
      <c r="C110" s="42" t="s">
        <v>152</v>
      </c>
      <c r="D110" s="132">
        <f>D95</f>
        <v>33406.28</v>
      </c>
    </row>
    <row r="111" spans="1:4" outlineLevel="1" x14ac:dyDescent="0.35">
      <c r="A111" s="644" t="s">
        <v>11</v>
      </c>
      <c r="B111" s="645"/>
      <c r="C111" s="67">
        <f>'SR - ASG int'!C111</f>
        <v>0.94450000000000001</v>
      </c>
      <c r="D111" s="116">
        <f>IF(C111&gt;1,D102+D108,(D102+D108)*C111)</f>
        <v>1634.13</v>
      </c>
    </row>
    <row r="112" spans="1:4" outlineLevel="1" x14ac:dyDescent="0.35">
      <c r="A112" s="658"/>
      <c r="B112" s="659"/>
      <c r="C112" s="659"/>
      <c r="D112" s="660"/>
    </row>
    <row r="113" spans="1:4" outlineLevel="1" x14ac:dyDescent="0.35">
      <c r="A113" s="64" t="s">
        <v>204</v>
      </c>
      <c r="B113" s="109" t="s">
        <v>205</v>
      </c>
      <c r="C113" s="110" t="s">
        <v>44</v>
      </c>
      <c r="D113" s="110" t="s">
        <v>35</v>
      </c>
    </row>
    <row r="114" spans="1:4" outlineLevel="2" x14ac:dyDescent="0.35">
      <c r="A114" s="111" t="s">
        <v>36</v>
      </c>
      <c r="B114" s="31" t="s">
        <v>206</v>
      </c>
      <c r="C114" s="34">
        <f>IF(C12&gt;60,(D39/12*(C12-60))/C12/D39,IF(C12&gt;48,(D39/12*(C12-48))/C12/D39,IF(C12&gt;36,(D39/12*(C12-36))/C12/D39,IF(C12&gt;24,(D39/12*(C12-24))/C12/D39,IF(C12&gt;12,((D39/12*(C12-12))/C12/D39),1/12)))))</f>
        <v>3.3300000000000003E-2</v>
      </c>
      <c r="D114" s="133">
        <f>C114*D39</f>
        <v>50.49</v>
      </c>
    </row>
    <row r="115" spans="1:4" outlineLevel="2" x14ac:dyDescent="0.35">
      <c r="A115" s="111" t="s">
        <v>16</v>
      </c>
      <c r="B115" s="48" t="s">
        <v>207</v>
      </c>
      <c r="C115" s="34">
        <f>C114/3</f>
        <v>1.11E-2</v>
      </c>
      <c r="D115" s="134">
        <f>C115*D39</f>
        <v>16.829999999999998</v>
      </c>
    </row>
    <row r="116" spans="1:4" outlineLevel="1" x14ac:dyDescent="0.35">
      <c r="A116" s="644" t="s">
        <v>11</v>
      </c>
      <c r="B116" s="645"/>
      <c r="C116" s="30">
        <f>C114+C115</f>
        <v>4.4400000000000002E-2</v>
      </c>
      <c r="D116" s="116">
        <f>SUM(D114:D115)</f>
        <v>67.319999999999993</v>
      </c>
    </row>
    <row r="117" spans="1:4" outlineLevel="1" x14ac:dyDescent="0.35">
      <c r="A117" s="658"/>
      <c r="B117" s="659"/>
      <c r="C117" s="659"/>
      <c r="D117" s="660"/>
    </row>
    <row r="118" spans="1:4" outlineLevel="1" x14ac:dyDescent="0.35">
      <c r="A118" s="661" t="s">
        <v>208</v>
      </c>
      <c r="B118" s="662"/>
      <c r="C118" s="110" t="s">
        <v>44</v>
      </c>
      <c r="D118" s="110" t="s">
        <v>35</v>
      </c>
    </row>
    <row r="119" spans="1:4" outlineLevel="1" x14ac:dyDescent="0.35">
      <c r="A119" s="111" t="s">
        <v>174</v>
      </c>
      <c r="B119" s="31" t="s">
        <v>175</v>
      </c>
      <c r="C119" s="34">
        <f>C99</f>
        <v>5.5500000000000001E-2</v>
      </c>
      <c r="D119" s="104">
        <f>D99</f>
        <v>177.91</v>
      </c>
    </row>
    <row r="120" spans="1:4" outlineLevel="1" x14ac:dyDescent="0.35">
      <c r="A120" s="113" t="s">
        <v>195</v>
      </c>
      <c r="B120" s="31" t="s">
        <v>196</v>
      </c>
      <c r="C120" s="49">
        <f>C111</f>
        <v>0.94450000000000001</v>
      </c>
      <c r="D120" s="104">
        <f>D111</f>
        <v>1634.13</v>
      </c>
    </row>
    <row r="121" spans="1:4" outlineLevel="1" x14ac:dyDescent="0.35">
      <c r="A121" s="679" t="s">
        <v>209</v>
      </c>
      <c r="B121" s="679"/>
      <c r="C121" s="679"/>
      <c r="D121" s="135">
        <f>D119+D120</f>
        <v>1812.04</v>
      </c>
    </row>
    <row r="122" spans="1:4" outlineLevel="1" x14ac:dyDescent="0.35">
      <c r="A122" s="675" t="s">
        <v>210</v>
      </c>
      <c r="B122" s="676"/>
      <c r="C122" s="68">
        <f>'SR - ASG int'!C122</f>
        <v>0.63570000000000004</v>
      </c>
      <c r="D122" s="58">
        <f>C122*D121</f>
        <v>1151.9100000000001</v>
      </c>
    </row>
    <row r="123" spans="1:4" outlineLevel="1" x14ac:dyDescent="0.35">
      <c r="A123" s="675" t="s">
        <v>211</v>
      </c>
      <c r="B123" s="676"/>
      <c r="C123" s="68">
        <f>'SR - ASG int'!C123</f>
        <v>1.0999999999999999E-2</v>
      </c>
      <c r="D123" s="58">
        <f>(D50+(D116/2))*-C123</f>
        <v>-1.76</v>
      </c>
    </row>
    <row r="124" spans="1:4" outlineLevel="1" x14ac:dyDescent="0.35">
      <c r="A124" s="677" t="s">
        <v>212</v>
      </c>
      <c r="B124" s="678"/>
      <c r="C124" s="72">
        <f>1/C12</f>
        <v>0.05</v>
      </c>
      <c r="D124" s="59">
        <f>(D122+D123)*C124</f>
        <v>57.51</v>
      </c>
    </row>
    <row r="125" spans="1:4" outlineLevel="1" x14ac:dyDescent="0.35">
      <c r="A125" s="113" t="s">
        <v>204</v>
      </c>
      <c r="B125" s="31" t="s">
        <v>213</v>
      </c>
      <c r="C125" s="49"/>
      <c r="D125" s="124">
        <f>D116</f>
        <v>67.319999999999993</v>
      </c>
    </row>
    <row r="126" spans="1:4" x14ac:dyDescent="0.35">
      <c r="A126" s="644" t="s">
        <v>11</v>
      </c>
      <c r="B126" s="645"/>
      <c r="C126" s="30"/>
      <c r="D126" s="136">
        <f>D124+D125</f>
        <v>124.83</v>
      </c>
    </row>
    <row r="127" spans="1:4" x14ac:dyDescent="0.35">
      <c r="A127" s="646"/>
      <c r="B127" s="647"/>
      <c r="C127" s="647"/>
      <c r="D127" s="648"/>
    </row>
    <row r="128" spans="1:4" x14ac:dyDescent="0.35">
      <c r="A128" s="663" t="s">
        <v>64</v>
      </c>
      <c r="B128" s="664"/>
      <c r="C128" s="664"/>
      <c r="D128" s="665"/>
    </row>
    <row r="129" spans="1:4" outlineLevel="1" x14ac:dyDescent="0.35">
      <c r="A129" s="658"/>
      <c r="B129" s="659"/>
      <c r="C129" s="659"/>
      <c r="D129" s="660"/>
    </row>
    <row r="130" spans="1:4" outlineLevel="1" x14ac:dyDescent="0.35">
      <c r="A130" s="110" t="s">
        <v>65</v>
      </c>
      <c r="B130" s="117" t="s">
        <v>214</v>
      </c>
      <c r="C130" s="30" t="s">
        <v>44</v>
      </c>
      <c r="D130" s="110" t="s">
        <v>35</v>
      </c>
    </row>
    <row r="131" spans="1:4" outlineLevel="2" x14ac:dyDescent="0.35">
      <c r="A131" s="137" t="s">
        <v>36</v>
      </c>
      <c r="B131" s="89" t="s">
        <v>66</v>
      </c>
      <c r="C131" s="50">
        <f>IF(C12&gt;60,5/C12,IF(C12&gt;48,4/C12,IF(C12&gt;36,3/C12,IF(C12&gt;24,2/C12,IF(C12&gt;12,1/C12,0)))))</f>
        <v>0.05</v>
      </c>
      <c r="D131" s="133">
        <f>SUM(D132:D136)</f>
        <v>97.97</v>
      </c>
    </row>
    <row r="132" spans="1:4" outlineLevel="3" x14ac:dyDescent="0.35">
      <c r="A132" s="138" t="s">
        <v>215</v>
      </c>
      <c r="B132" s="90" t="s">
        <v>216</v>
      </c>
      <c r="C132" s="139">
        <f>D39</f>
        <v>1516.17</v>
      </c>
      <c r="D132" s="140">
        <f>$C$131*(D39)-($C$131*(D39)*C137/3)</f>
        <v>75.81</v>
      </c>
    </row>
    <row r="133" spans="1:4" outlineLevel="3" x14ac:dyDescent="0.35">
      <c r="A133" s="138" t="s">
        <v>217</v>
      </c>
      <c r="B133" s="90" t="s">
        <v>218</v>
      </c>
      <c r="C133" s="139">
        <f>(D50)</f>
        <v>126.3</v>
      </c>
      <c r="D133" s="140">
        <f>$C$131*C133-($C$131*C133*C137/3)</f>
        <v>6.32</v>
      </c>
    </row>
    <row r="134" spans="1:4" outlineLevel="3" x14ac:dyDescent="0.35">
      <c r="A134" s="138" t="s">
        <v>219</v>
      </c>
      <c r="B134" s="90" t="s">
        <v>220</v>
      </c>
      <c r="C134" s="141">
        <f>(D39/12)+(D51*IF(C12&gt;60,((C12-60)*(1/60))+1,IF(C12&gt;48,((C12-48)*(1/48))+1,IF(C12&gt;36,((C12-36)*(1/36))+1,IF(C12&gt;24,((C12-24)*(1/24))+1,IF(C12&gt;12,((C12-12)*(1/12))+1,1))))))</f>
        <v>168.55</v>
      </c>
      <c r="D134" s="140">
        <f>$C$131*C134-($C$131*C134*C137/3)</f>
        <v>8.43</v>
      </c>
    </row>
    <row r="135" spans="1:4" outlineLevel="3" x14ac:dyDescent="0.35">
      <c r="A135" s="138" t="s">
        <v>221</v>
      </c>
      <c r="B135" s="90" t="s">
        <v>222</v>
      </c>
      <c r="C135" s="91">
        <f>C63</f>
        <v>0.36799999999999999</v>
      </c>
      <c r="D135" s="140">
        <f>SUM(D132:D134)*C131</f>
        <v>4.53</v>
      </c>
    </row>
    <row r="136" spans="1:4" outlineLevel="3" x14ac:dyDescent="0.35">
      <c r="A136" s="138" t="s">
        <v>223</v>
      </c>
      <c r="B136" s="90" t="s">
        <v>224</v>
      </c>
      <c r="C136" s="141">
        <f>D124</f>
        <v>57.51</v>
      </c>
      <c r="D136" s="140">
        <f>C136*C131</f>
        <v>2.88</v>
      </c>
    </row>
    <row r="137" spans="1:4" outlineLevel="2" x14ac:dyDescent="0.35">
      <c r="A137" s="111" t="s">
        <v>16</v>
      </c>
      <c r="B137" s="31" t="s">
        <v>225</v>
      </c>
      <c r="C137" s="92">
        <v>0</v>
      </c>
      <c r="D137" s="124">
        <f>$C$131*(D39)*(C137/3)</f>
        <v>0</v>
      </c>
    </row>
    <row r="138" spans="1:4" outlineLevel="1" x14ac:dyDescent="0.35">
      <c r="A138" s="644" t="s">
        <v>226</v>
      </c>
      <c r="B138" s="645"/>
      <c r="C138" s="30">
        <f>C131+(D137/D39)</f>
        <v>0.05</v>
      </c>
      <c r="D138" s="116">
        <f>SUM(D131:D137)</f>
        <v>195.94</v>
      </c>
    </row>
    <row r="139" spans="1:4" outlineLevel="1" x14ac:dyDescent="0.35">
      <c r="A139" s="658"/>
      <c r="B139" s="659"/>
      <c r="C139" s="659"/>
      <c r="D139" s="660"/>
    </row>
    <row r="140" spans="1:4" outlineLevel="2" x14ac:dyDescent="0.35">
      <c r="A140" s="668" t="s">
        <v>227</v>
      </c>
      <c r="B140" s="142" t="s">
        <v>190</v>
      </c>
      <c r="C140" s="93">
        <v>220</v>
      </c>
      <c r="D140" s="143">
        <f>D39</f>
        <v>1516.17</v>
      </c>
    </row>
    <row r="141" spans="1:4" outlineLevel="2" x14ac:dyDescent="0.35">
      <c r="A141" s="669"/>
      <c r="B141" s="142" t="s">
        <v>228</v>
      </c>
      <c r="C141" s="50">
        <f>(1+(1/3)+1)/12</f>
        <v>0.19439999999999999</v>
      </c>
      <c r="D141" s="144">
        <f>D140*C141</f>
        <v>294.74</v>
      </c>
    </row>
    <row r="142" spans="1:4" outlineLevel="2" x14ac:dyDescent="0.35">
      <c r="A142" s="669"/>
      <c r="B142" s="142" t="s">
        <v>229</v>
      </c>
      <c r="C142" s="50">
        <f>C63</f>
        <v>0.36799999999999999</v>
      </c>
      <c r="D142" s="144">
        <f>(D140+D141)*C142</f>
        <v>666.41</v>
      </c>
    </row>
    <row r="143" spans="1:4" outlineLevel="2" x14ac:dyDescent="0.35">
      <c r="A143" s="669"/>
      <c r="B143" s="142" t="s">
        <v>230</v>
      </c>
      <c r="C143" s="50">
        <f>D143/D140</f>
        <v>0.27610000000000001</v>
      </c>
      <c r="D143" s="144">
        <f>D77</f>
        <v>418.54</v>
      </c>
    </row>
    <row r="144" spans="1:4" outlineLevel="2" x14ac:dyDescent="0.35">
      <c r="A144" s="670"/>
      <c r="B144" s="145" t="s">
        <v>231</v>
      </c>
      <c r="C144" s="50">
        <f>D144/D140</f>
        <v>3.7900000000000003E-2</v>
      </c>
      <c r="D144" s="144">
        <f>D124</f>
        <v>57.51</v>
      </c>
    </row>
    <row r="145" spans="1:4" outlineLevel="2" x14ac:dyDescent="0.35">
      <c r="A145" s="671" t="s">
        <v>232</v>
      </c>
      <c r="B145" s="672"/>
      <c r="C145" s="94">
        <f>D145/D140</f>
        <v>1.9479</v>
      </c>
      <c r="D145" s="146">
        <f>SUM(D140:D144)</f>
        <v>2953.37</v>
      </c>
    </row>
    <row r="146" spans="1:4" outlineLevel="2" x14ac:dyDescent="0.35">
      <c r="A146" s="673"/>
      <c r="B146" s="673"/>
      <c r="C146" s="673"/>
      <c r="D146" s="674"/>
    </row>
    <row r="147" spans="1:4" outlineLevel="1" x14ac:dyDescent="0.35">
      <c r="A147" s="110" t="s">
        <v>233</v>
      </c>
      <c r="B147" s="117" t="s">
        <v>234</v>
      </c>
      <c r="C147" s="30" t="s">
        <v>44</v>
      </c>
      <c r="D147" s="110" t="s">
        <v>35</v>
      </c>
    </row>
    <row r="148" spans="1:4" outlineLevel="2" x14ac:dyDescent="0.35">
      <c r="A148" s="111" t="s">
        <v>16</v>
      </c>
      <c r="B148" s="31" t="s">
        <v>118</v>
      </c>
      <c r="C148" s="77">
        <f>5/252</f>
        <v>1.9800000000000002E-2</v>
      </c>
      <c r="D148" s="133">
        <f>C148*$D$145</f>
        <v>58.48</v>
      </c>
    </row>
    <row r="149" spans="1:4" outlineLevel="2" x14ac:dyDescent="0.35">
      <c r="A149" s="111" t="s">
        <v>17</v>
      </c>
      <c r="B149" s="31" t="s">
        <v>119</v>
      </c>
      <c r="C149" s="77">
        <f>1.383/252</f>
        <v>5.4999999999999997E-3</v>
      </c>
      <c r="D149" s="133">
        <f>C149*$D$145</f>
        <v>16.239999999999998</v>
      </c>
    </row>
    <row r="150" spans="1:4" outlineLevel="2" x14ac:dyDescent="0.35">
      <c r="A150" s="111" t="s">
        <v>19</v>
      </c>
      <c r="B150" s="31" t="s">
        <v>117</v>
      </c>
      <c r="C150" s="77">
        <f>1.3892/252</f>
        <v>5.4999999999999997E-3</v>
      </c>
      <c r="D150" s="133">
        <f t="shared" ref="D150:D153" si="1">C150*$D$145</f>
        <v>16.239999999999998</v>
      </c>
    </row>
    <row r="151" spans="1:4" outlineLevel="2" x14ac:dyDescent="0.35">
      <c r="A151" s="111" t="s">
        <v>22</v>
      </c>
      <c r="B151" s="31" t="s">
        <v>67</v>
      </c>
      <c r="C151" s="77">
        <f>0.65/252</f>
        <v>2.5999999999999999E-3</v>
      </c>
      <c r="D151" s="133">
        <f t="shared" si="1"/>
        <v>7.68</v>
      </c>
    </row>
    <row r="152" spans="1:4" outlineLevel="2" x14ac:dyDescent="0.35">
      <c r="A152" s="111" t="s">
        <v>24</v>
      </c>
      <c r="B152" s="31" t="s">
        <v>68</v>
      </c>
      <c r="C152" s="77">
        <f>0.5052/252</f>
        <v>2E-3</v>
      </c>
      <c r="D152" s="133">
        <f t="shared" si="1"/>
        <v>5.91</v>
      </c>
    </row>
    <row r="153" spans="1:4" outlineLevel="2" x14ac:dyDescent="0.35">
      <c r="A153" s="111" t="s">
        <v>36</v>
      </c>
      <c r="B153" s="61" t="s">
        <v>235</v>
      </c>
      <c r="C153" s="69">
        <f>0.2/252</f>
        <v>8.0000000000000004E-4</v>
      </c>
      <c r="D153" s="133">
        <f t="shared" si="1"/>
        <v>2.36</v>
      </c>
    </row>
    <row r="154" spans="1:4" outlineLevel="1" x14ac:dyDescent="0.35">
      <c r="A154" s="644" t="s">
        <v>226</v>
      </c>
      <c r="B154" s="645"/>
      <c r="C154" s="30">
        <f>SUM(C148:C153)</f>
        <v>3.6200000000000003E-2</v>
      </c>
      <c r="D154" s="116">
        <f>SUM(D148:D153)</f>
        <v>106.91</v>
      </c>
    </row>
    <row r="155" spans="1:4" outlineLevel="1" x14ac:dyDescent="0.35">
      <c r="A155" s="658"/>
      <c r="B155" s="659"/>
      <c r="C155" s="659"/>
      <c r="D155" s="660"/>
    </row>
    <row r="156" spans="1:4" outlineLevel="1" x14ac:dyDescent="0.35">
      <c r="A156" s="661" t="s">
        <v>236</v>
      </c>
      <c r="B156" s="666"/>
      <c r="C156" s="30" t="s">
        <v>237</v>
      </c>
      <c r="D156" s="110" t="s">
        <v>35</v>
      </c>
    </row>
    <row r="157" spans="1:4" outlineLevel="2" x14ac:dyDescent="0.4">
      <c r="A157" s="667" t="s">
        <v>238</v>
      </c>
      <c r="B157" s="142" t="s">
        <v>239</v>
      </c>
      <c r="C157" s="95">
        <f>C153</f>
        <v>8.0000000000000004E-4</v>
      </c>
      <c r="D157" s="147">
        <f>C157*-D140</f>
        <v>-1.21</v>
      </c>
    </row>
    <row r="158" spans="1:4" outlineLevel="2" x14ac:dyDescent="0.4">
      <c r="A158" s="667"/>
      <c r="B158" s="148" t="s">
        <v>240</v>
      </c>
      <c r="C158" s="96">
        <v>0</v>
      </c>
      <c r="D158" s="149">
        <f>C158*-(D140/220/24*5)</f>
        <v>0</v>
      </c>
    </row>
    <row r="159" spans="1:4" outlineLevel="2" x14ac:dyDescent="0.4">
      <c r="A159" s="667"/>
      <c r="B159" s="148" t="s">
        <v>241</v>
      </c>
      <c r="C159" s="96">
        <v>0</v>
      </c>
      <c r="D159" s="149">
        <f>C159*-D141</f>
        <v>0</v>
      </c>
    </row>
    <row r="160" spans="1:4" outlineLevel="2" x14ac:dyDescent="0.4">
      <c r="A160" s="667"/>
      <c r="B160" s="142" t="s">
        <v>242</v>
      </c>
      <c r="C160" s="95">
        <f>C154</f>
        <v>3.6200000000000003E-2</v>
      </c>
      <c r="D160" s="147">
        <f>C160*-D66</f>
        <v>0</v>
      </c>
    </row>
    <row r="161" spans="1:4" outlineLevel="2" x14ac:dyDescent="0.4">
      <c r="A161" s="667"/>
      <c r="B161" s="142" t="s">
        <v>243</v>
      </c>
      <c r="C161" s="95">
        <f>C154</f>
        <v>3.6200000000000003E-2</v>
      </c>
      <c r="D161" s="147">
        <f>C161*-D69</f>
        <v>-10.5</v>
      </c>
    </row>
    <row r="162" spans="1:4" outlineLevel="2" x14ac:dyDescent="0.4">
      <c r="A162" s="667"/>
      <c r="B162" s="145" t="s">
        <v>244</v>
      </c>
      <c r="C162" s="95">
        <f>C153</f>
        <v>8.0000000000000004E-4</v>
      </c>
      <c r="D162" s="147">
        <f>C162*-D74</f>
        <v>-0.02</v>
      </c>
    </row>
    <row r="163" spans="1:4" outlineLevel="2" x14ac:dyDescent="0.35">
      <c r="A163" s="667"/>
      <c r="B163" s="145" t="s">
        <v>245</v>
      </c>
      <c r="C163" s="97">
        <f>C152</f>
        <v>2E-3</v>
      </c>
      <c r="D163" s="133">
        <f>C163*-SUM(D55:D61)</f>
        <v>-0.96</v>
      </c>
    </row>
    <row r="164" spans="1:4" outlineLevel="2" x14ac:dyDescent="0.4">
      <c r="A164" s="667"/>
      <c r="B164" s="142" t="s">
        <v>246</v>
      </c>
      <c r="C164" s="95">
        <f>C153</f>
        <v>8.0000000000000004E-4</v>
      </c>
      <c r="D164" s="147">
        <f>C164*-D142</f>
        <v>-0.53</v>
      </c>
    </row>
    <row r="165" spans="1:4" outlineLevel="1" x14ac:dyDescent="0.35">
      <c r="A165" s="644" t="s">
        <v>247</v>
      </c>
      <c r="B165" s="645"/>
      <c r="C165" s="30">
        <f>D165/D140</f>
        <v>-8.6999999999999994E-3</v>
      </c>
      <c r="D165" s="116">
        <f>SUM(D157:D164)</f>
        <v>-13.22</v>
      </c>
    </row>
    <row r="166" spans="1:4" outlineLevel="1" x14ac:dyDescent="0.35">
      <c r="A166" s="658"/>
      <c r="B166" s="659"/>
      <c r="C166" s="659"/>
      <c r="D166" s="660"/>
    </row>
    <row r="167" spans="1:4" outlineLevel="1" x14ac:dyDescent="0.35">
      <c r="A167" s="644" t="s">
        <v>248</v>
      </c>
      <c r="B167" s="645"/>
      <c r="C167" s="30">
        <f>D167/D140</f>
        <v>6.1800000000000001E-2</v>
      </c>
      <c r="D167" s="116">
        <f>D154+D165</f>
        <v>93.69</v>
      </c>
    </row>
    <row r="168" spans="1:4" outlineLevel="1" x14ac:dyDescent="0.35">
      <c r="A168" s="658"/>
      <c r="B168" s="659"/>
      <c r="C168" s="659"/>
      <c r="D168" s="660"/>
    </row>
    <row r="169" spans="1:4" outlineLevel="1" x14ac:dyDescent="0.35">
      <c r="A169" s="661" t="s">
        <v>249</v>
      </c>
      <c r="B169" s="662"/>
      <c r="C169" s="110" t="s">
        <v>44</v>
      </c>
      <c r="D169" s="110" t="s">
        <v>35</v>
      </c>
    </row>
    <row r="170" spans="1:4" outlineLevel="1" x14ac:dyDescent="0.35">
      <c r="A170" s="111" t="s">
        <v>65</v>
      </c>
      <c r="B170" s="31" t="s">
        <v>214</v>
      </c>
      <c r="C170" s="34"/>
      <c r="D170" s="150">
        <f>D138</f>
        <v>195.94</v>
      </c>
    </row>
    <row r="171" spans="1:4" outlineLevel="1" x14ac:dyDescent="0.35">
      <c r="A171" s="111" t="s">
        <v>233</v>
      </c>
      <c r="B171" s="31" t="s">
        <v>234</v>
      </c>
      <c r="C171" s="34"/>
      <c r="D171" s="150">
        <f>D167</f>
        <v>93.69</v>
      </c>
    </row>
    <row r="172" spans="1:4" x14ac:dyDescent="0.35">
      <c r="A172" s="644" t="s">
        <v>11</v>
      </c>
      <c r="B172" s="657"/>
      <c r="C172" s="645"/>
      <c r="D172" s="119">
        <f>SUM(D170:D171)</f>
        <v>289.63</v>
      </c>
    </row>
    <row r="173" spans="1:4" x14ac:dyDescent="0.35">
      <c r="A173" s="658"/>
      <c r="B173" s="659"/>
      <c r="C173" s="659"/>
      <c r="D173" s="660"/>
    </row>
    <row r="174" spans="1:4" x14ac:dyDescent="0.35">
      <c r="A174" s="663" t="s">
        <v>69</v>
      </c>
      <c r="B174" s="664"/>
      <c r="C174" s="664"/>
      <c r="D174" s="665"/>
    </row>
    <row r="175" spans="1:4" outlineLevel="1" x14ac:dyDescent="0.35">
      <c r="A175" s="658"/>
      <c r="B175" s="659"/>
      <c r="C175" s="659"/>
      <c r="D175" s="660"/>
    </row>
    <row r="176" spans="1:4" outlineLevel="1" x14ac:dyDescent="0.35">
      <c r="A176" s="64">
        <v>5</v>
      </c>
      <c r="B176" s="644" t="s">
        <v>250</v>
      </c>
      <c r="C176" s="645"/>
      <c r="D176" s="110" t="s">
        <v>35</v>
      </c>
    </row>
    <row r="177" spans="1:4" outlineLevel="1" x14ac:dyDescent="0.35">
      <c r="A177" s="111" t="s">
        <v>36</v>
      </c>
      <c r="B177" s="655" t="s">
        <v>343</v>
      </c>
      <c r="C177" s="656"/>
      <c r="D177" s="133">
        <f>INSUMOS!H12</f>
        <v>25.07</v>
      </c>
    </row>
    <row r="178" spans="1:4" outlineLevel="1" x14ac:dyDescent="0.35">
      <c r="A178" s="111" t="s">
        <v>16</v>
      </c>
      <c r="B178" s="655" t="s">
        <v>369</v>
      </c>
      <c r="C178" s="656"/>
      <c r="D178" s="151">
        <f>INSUMOS!H34</f>
        <v>29.12</v>
      </c>
    </row>
    <row r="179" spans="1:4" outlineLevel="1" x14ac:dyDescent="0.35">
      <c r="A179" s="111" t="s">
        <v>17</v>
      </c>
      <c r="B179" s="640" t="s">
        <v>326</v>
      </c>
      <c r="C179" s="642"/>
      <c r="D179" s="151">
        <f>MATERIAIS!K125</f>
        <v>277.89</v>
      </c>
    </row>
    <row r="180" spans="1:4" outlineLevel="1" x14ac:dyDescent="0.35">
      <c r="A180" s="111" t="s">
        <v>19</v>
      </c>
      <c r="B180" s="640" t="s">
        <v>325</v>
      </c>
      <c r="C180" s="642"/>
      <c r="D180" s="151">
        <f>EQUIPAMENTOS!L134</f>
        <v>24.75</v>
      </c>
    </row>
    <row r="181" spans="1:4" outlineLevel="1" x14ac:dyDescent="0.35">
      <c r="A181" s="111" t="s">
        <v>22</v>
      </c>
      <c r="B181" s="705" t="s">
        <v>39</v>
      </c>
      <c r="C181" s="706"/>
      <c r="D181" s="130">
        <v>0</v>
      </c>
    </row>
    <row r="182" spans="1:4" x14ac:dyDescent="0.35">
      <c r="A182" s="111" t="s">
        <v>24</v>
      </c>
      <c r="B182" s="705" t="s">
        <v>39</v>
      </c>
      <c r="C182" s="706"/>
      <c r="D182" s="130">
        <v>0</v>
      </c>
    </row>
    <row r="183" spans="1:4" x14ac:dyDescent="0.35">
      <c r="A183" s="644" t="s">
        <v>11</v>
      </c>
      <c r="B183" s="657"/>
      <c r="C183" s="645"/>
      <c r="D183" s="116">
        <f>SUM(D177:D181)</f>
        <v>356.83</v>
      </c>
    </row>
    <row r="184" spans="1:4" x14ac:dyDescent="0.35">
      <c r="A184" s="650"/>
      <c r="B184" s="650"/>
      <c r="C184" s="650"/>
      <c r="D184" s="650"/>
    </row>
    <row r="185" spans="1:4" x14ac:dyDescent="0.35">
      <c r="A185" s="649" t="s">
        <v>70</v>
      </c>
      <c r="B185" s="649"/>
      <c r="C185" s="649"/>
      <c r="D185" s="152">
        <f>D39+D83+D126+D172+D182</f>
        <v>3114.54</v>
      </c>
    </row>
    <row r="186" spans="1:4" x14ac:dyDescent="0.35">
      <c r="A186" s="650"/>
      <c r="B186" s="650"/>
      <c r="C186" s="650"/>
      <c r="D186" s="650"/>
    </row>
    <row r="187" spans="1:4" x14ac:dyDescent="0.35">
      <c r="A187" s="651" t="s">
        <v>71</v>
      </c>
      <c r="B187" s="651"/>
      <c r="C187" s="651"/>
      <c r="D187" s="651"/>
    </row>
    <row r="188" spans="1:4" outlineLevel="1" x14ac:dyDescent="0.35">
      <c r="A188" s="652"/>
      <c r="B188" s="653"/>
      <c r="C188" s="653"/>
      <c r="D188" s="654"/>
    </row>
    <row r="189" spans="1:4" outlineLevel="1" x14ac:dyDescent="0.35">
      <c r="A189" s="64">
        <v>6</v>
      </c>
      <c r="B189" s="117" t="s">
        <v>72</v>
      </c>
      <c r="C189" s="110" t="s">
        <v>44</v>
      </c>
      <c r="D189" s="110" t="s">
        <v>35</v>
      </c>
    </row>
    <row r="190" spans="1:4" outlineLevel="1" x14ac:dyDescent="0.35">
      <c r="A190" s="111" t="s">
        <v>36</v>
      </c>
      <c r="B190" s="31" t="s">
        <v>73</v>
      </c>
      <c r="C190" s="70">
        <f>'SR - ASG int'!C189</f>
        <v>2.6499999999999999E-2</v>
      </c>
      <c r="D190" s="105">
        <f>C190*D185</f>
        <v>82.54</v>
      </c>
    </row>
    <row r="191" spans="1:4" outlineLevel="1" x14ac:dyDescent="0.35">
      <c r="A191" s="638" t="s">
        <v>1</v>
      </c>
      <c r="B191" s="639"/>
      <c r="C191" s="643"/>
      <c r="D191" s="105">
        <f>D185+D190</f>
        <v>3197.08</v>
      </c>
    </row>
    <row r="192" spans="1:4" outlineLevel="1" x14ac:dyDescent="0.35">
      <c r="A192" s="111" t="s">
        <v>16</v>
      </c>
      <c r="B192" s="31" t="s">
        <v>74</v>
      </c>
      <c r="C192" s="70">
        <f>'SR - ASG int'!C191</f>
        <v>0.1087</v>
      </c>
      <c r="D192" s="105">
        <f>C192*D191</f>
        <v>347.52</v>
      </c>
    </row>
    <row r="193" spans="1:4" outlineLevel="1" x14ac:dyDescent="0.35">
      <c r="A193" s="638" t="s">
        <v>1</v>
      </c>
      <c r="B193" s="639"/>
      <c r="C193" s="639"/>
      <c r="D193" s="105">
        <f>D192+D191</f>
        <v>3544.6</v>
      </c>
    </row>
    <row r="194" spans="1:4" outlineLevel="1" x14ac:dyDescent="0.35">
      <c r="A194" s="111" t="s">
        <v>17</v>
      </c>
      <c r="B194" s="640" t="s">
        <v>75</v>
      </c>
      <c r="C194" s="641"/>
      <c r="D194" s="642"/>
    </row>
    <row r="195" spans="1:4" outlineLevel="1" x14ac:dyDescent="0.35">
      <c r="A195" s="153"/>
      <c r="B195" s="63" t="s">
        <v>76</v>
      </c>
      <c r="C195" s="70">
        <v>6.4999999999999997E-3</v>
      </c>
      <c r="D195" s="105">
        <f>(D193/(1-C198)*C195)</f>
        <v>24.68</v>
      </c>
    </row>
    <row r="196" spans="1:4" outlineLevel="1" x14ac:dyDescent="0.35">
      <c r="A196" s="153"/>
      <c r="B196" s="63" t="s">
        <v>77</v>
      </c>
      <c r="C196" s="70">
        <v>0.03</v>
      </c>
      <c r="D196" s="105">
        <f>(D193/(1-C198)*C196)</f>
        <v>113.91</v>
      </c>
    </row>
    <row r="197" spans="1:4" outlineLevel="1" x14ac:dyDescent="0.35">
      <c r="A197" s="153"/>
      <c r="B197" s="63" t="s">
        <v>298</v>
      </c>
      <c r="C197" s="51">
        <v>0.03</v>
      </c>
      <c r="D197" s="105">
        <f>(D193/(1-C198)*C197)</f>
        <v>113.91</v>
      </c>
    </row>
    <row r="198" spans="1:4" outlineLevel="1" x14ac:dyDescent="0.35">
      <c r="A198" s="638" t="s">
        <v>78</v>
      </c>
      <c r="B198" s="643"/>
      <c r="C198" s="52">
        <f>SUM(C195:C197)</f>
        <v>6.6500000000000004E-2</v>
      </c>
      <c r="D198" s="105">
        <f>SUM(D195:D197)</f>
        <v>252.5</v>
      </c>
    </row>
    <row r="199" spans="1:4" x14ac:dyDescent="0.35">
      <c r="A199" s="644" t="s">
        <v>11</v>
      </c>
      <c r="B199" s="645"/>
      <c r="C199" s="53">
        <f>(1+C190)*(1+C192)*(1/(1-C198))-1</f>
        <v>0.21920000000000001</v>
      </c>
      <c r="D199" s="108">
        <f>SUM(D198+D190+D192)</f>
        <v>682.56</v>
      </c>
    </row>
    <row r="200" spans="1:4" x14ac:dyDescent="0.35">
      <c r="A200" s="646"/>
      <c r="B200" s="647"/>
      <c r="C200" s="647"/>
      <c r="D200" s="648"/>
    </row>
    <row r="201" spans="1:4" x14ac:dyDescent="0.35">
      <c r="A201" s="634" t="s">
        <v>79</v>
      </c>
      <c r="B201" s="635"/>
      <c r="C201" s="636"/>
      <c r="D201" s="54" t="s">
        <v>35</v>
      </c>
    </row>
    <row r="202" spans="1:4" x14ac:dyDescent="0.35">
      <c r="A202" s="632" t="s">
        <v>80</v>
      </c>
      <c r="B202" s="637"/>
      <c r="C202" s="637"/>
      <c r="D202" s="633"/>
    </row>
    <row r="203" spans="1:4" x14ac:dyDescent="0.35">
      <c r="A203" s="65" t="s">
        <v>36</v>
      </c>
      <c r="B203" s="632" t="s">
        <v>81</v>
      </c>
      <c r="C203" s="633"/>
      <c r="D203" s="104">
        <f>D39</f>
        <v>1516.17</v>
      </c>
    </row>
    <row r="204" spans="1:4" x14ac:dyDescent="0.35">
      <c r="A204" s="65" t="s">
        <v>16</v>
      </c>
      <c r="B204" s="632" t="s">
        <v>82</v>
      </c>
      <c r="C204" s="633"/>
      <c r="D204" s="104">
        <f>D83</f>
        <v>1183.9100000000001</v>
      </c>
    </row>
    <row r="205" spans="1:4" x14ac:dyDescent="0.35">
      <c r="A205" s="65" t="s">
        <v>17</v>
      </c>
      <c r="B205" s="632" t="s">
        <v>83</v>
      </c>
      <c r="C205" s="633"/>
      <c r="D205" s="104">
        <f>D126</f>
        <v>124.83</v>
      </c>
    </row>
    <row r="206" spans="1:4" x14ac:dyDescent="0.35">
      <c r="A206" s="65" t="s">
        <v>19</v>
      </c>
      <c r="B206" s="632" t="s">
        <v>84</v>
      </c>
      <c r="C206" s="633"/>
      <c r="D206" s="104">
        <f>D172</f>
        <v>289.63</v>
      </c>
    </row>
    <row r="207" spans="1:4" x14ac:dyDescent="0.35">
      <c r="A207" s="65" t="s">
        <v>22</v>
      </c>
      <c r="B207" s="632" t="s">
        <v>85</v>
      </c>
      <c r="C207" s="633"/>
      <c r="D207" s="104">
        <f>D182</f>
        <v>0</v>
      </c>
    </row>
    <row r="208" spans="1:4" x14ac:dyDescent="0.4">
      <c r="A208" s="629" t="s">
        <v>86</v>
      </c>
      <c r="B208" s="630"/>
      <c r="C208" s="631"/>
      <c r="D208" s="104">
        <f>SUM(D203:D207)</f>
        <v>3114.54</v>
      </c>
    </row>
    <row r="209" spans="1:4" x14ac:dyDescent="0.35">
      <c r="A209" s="65" t="s">
        <v>87</v>
      </c>
      <c r="B209" s="632" t="s">
        <v>88</v>
      </c>
      <c r="C209" s="633"/>
      <c r="D209" s="104">
        <f>D199</f>
        <v>682.56</v>
      </c>
    </row>
    <row r="210" spans="1:4" x14ac:dyDescent="0.35">
      <c r="A210" s="634" t="s">
        <v>89</v>
      </c>
      <c r="B210" s="635"/>
      <c r="C210" s="636"/>
      <c r="D210" s="154">
        <f xml:space="preserve"> D208+D209</f>
        <v>3797.1</v>
      </c>
    </row>
    <row r="211" spans="1:4" x14ac:dyDescent="0.4">
      <c r="A211" s="24"/>
      <c r="B211" s="24"/>
      <c r="C211" s="24"/>
      <c r="D211" s="24"/>
    </row>
    <row r="212" spans="1:4" thickBot="1" x14ac:dyDescent="0.4">
      <c r="A212" s="17"/>
      <c r="B212" s="17"/>
      <c r="C212" s="17"/>
      <c r="D212" s="17"/>
    </row>
    <row r="213" spans="1:4" x14ac:dyDescent="0.35">
      <c r="A213" s="702" t="s">
        <v>274</v>
      </c>
      <c r="B213" s="703"/>
      <c r="C213" s="703"/>
      <c r="D213" s="704"/>
    </row>
    <row r="214" spans="1:4" ht="30" x14ac:dyDescent="0.35">
      <c r="A214" s="170" t="s">
        <v>275</v>
      </c>
      <c r="B214" s="171" t="s">
        <v>278</v>
      </c>
      <c r="C214" s="172" t="s">
        <v>276</v>
      </c>
      <c r="D214" s="173" t="s">
        <v>277</v>
      </c>
    </row>
    <row r="215" spans="1:4" ht="15.5" thickBot="1" x14ac:dyDescent="0.4">
      <c r="A215" s="174">
        <v>1</v>
      </c>
      <c r="B215" s="178">
        <f>1/(C11/A215)</f>
        <v>2.7471018076E-3</v>
      </c>
      <c r="C215" s="175">
        <f>D210</f>
        <v>3797.1</v>
      </c>
      <c r="D215" s="181">
        <f>C215*B215</f>
        <v>10.431020274</v>
      </c>
    </row>
  </sheetData>
  <mergeCells count="108">
    <mergeCell ref="B206:C206"/>
    <mergeCell ref="B207:C207"/>
    <mergeCell ref="A208:C208"/>
    <mergeCell ref="B209:C209"/>
    <mergeCell ref="A210:C210"/>
    <mergeCell ref="A213:D213"/>
    <mergeCell ref="A200:D200"/>
    <mergeCell ref="A201:C201"/>
    <mergeCell ref="A202:D202"/>
    <mergeCell ref="B203:C203"/>
    <mergeCell ref="B204:C204"/>
    <mergeCell ref="B205:C205"/>
    <mergeCell ref="A188:D188"/>
    <mergeCell ref="A191:C191"/>
    <mergeCell ref="A193:C193"/>
    <mergeCell ref="B194:D194"/>
    <mergeCell ref="A198:B198"/>
    <mergeCell ref="A199:B199"/>
    <mergeCell ref="B182:C182"/>
    <mergeCell ref="A183:C183"/>
    <mergeCell ref="A184:D184"/>
    <mergeCell ref="A185:C185"/>
    <mergeCell ref="A186:D186"/>
    <mergeCell ref="A187:D187"/>
    <mergeCell ref="B176:C176"/>
    <mergeCell ref="B177:C177"/>
    <mergeCell ref="B178:C178"/>
    <mergeCell ref="B179:C179"/>
    <mergeCell ref="B180:C180"/>
    <mergeCell ref="B181:C181"/>
    <mergeCell ref="A168:D168"/>
    <mergeCell ref="A169:B169"/>
    <mergeCell ref="A172:C172"/>
    <mergeCell ref="A173:D173"/>
    <mergeCell ref="A174:D174"/>
    <mergeCell ref="A175:D175"/>
    <mergeCell ref="A155:D155"/>
    <mergeCell ref="A156:B156"/>
    <mergeCell ref="A157:A164"/>
    <mergeCell ref="A165:B165"/>
    <mergeCell ref="A166:D166"/>
    <mergeCell ref="A167:B167"/>
    <mergeCell ref="A138:B138"/>
    <mergeCell ref="A139:D139"/>
    <mergeCell ref="A140:A144"/>
    <mergeCell ref="A145:B145"/>
    <mergeCell ref="A146:D146"/>
    <mergeCell ref="A154:B154"/>
    <mergeCell ref="A123:B123"/>
    <mergeCell ref="A124:B124"/>
    <mergeCell ref="A126:B126"/>
    <mergeCell ref="A127:D127"/>
    <mergeCell ref="A128:D128"/>
    <mergeCell ref="A129:D129"/>
    <mergeCell ref="A112:D112"/>
    <mergeCell ref="A116:B116"/>
    <mergeCell ref="A117:D117"/>
    <mergeCell ref="A118:B118"/>
    <mergeCell ref="A121:C121"/>
    <mergeCell ref="A122:B122"/>
    <mergeCell ref="A84:D84"/>
    <mergeCell ref="A85:D85"/>
    <mergeCell ref="A86:D86"/>
    <mergeCell ref="A99:B99"/>
    <mergeCell ref="A100:D100"/>
    <mergeCell ref="A111:B111"/>
    <mergeCell ref="A63:B63"/>
    <mergeCell ref="A64:D64"/>
    <mergeCell ref="A77:C77"/>
    <mergeCell ref="A78:D78"/>
    <mergeCell ref="A79:B79"/>
    <mergeCell ref="A83:C83"/>
    <mergeCell ref="A45:B45"/>
    <mergeCell ref="A46:D46"/>
    <mergeCell ref="A47:D47"/>
    <mergeCell ref="A48:D48"/>
    <mergeCell ref="A52:B52"/>
    <mergeCell ref="A53:D53"/>
    <mergeCell ref="A23:D23"/>
    <mergeCell ref="A24:D24"/>
    <mergeCell ref="A25:D25"/>
    <mergeCell ref="B26:C26"/>
    <mergeCell ref="A39:C39"/>
    <mergeCell ref="A40:D40"/>
    <mergeCell ref="C17:D17"/>
    <mergeCell ref="A18:D18"/>
    <mergeCell ref="B19:C19"/>
    <mergeCell ref="B20:C20"/>
    <mergeCell ref="B21:C21"/>
    <mergeCell ref="B22:C22"/>
    <mergeCell ref="C11:D11"/>
    <mergeCell ref="C12:D12"/>
    <mergeCell ref="A13:D13"/>
    <mergeCell ref="A14:D14"/>
    <mergeCell ref="A15:D15"/>
    <mergeCell ref="C16:D16"/>
    <mergeCell ref="A5:D5"/>
    <mergeCell ref="C6:D6"/>
    <mergeCell ref="C7:D7"/>
    <mergeCell ref="C8:D8"/>
    <mergeCell ref="C9:D9"/>
    <mergeCell ref="C10:D10"/>
    <mergeCell ref="A1:D1"/>
    <mergeCell ref="A2:B2"/>
    <mergeCell ref="C2:D2"/>
    <mergeCell ref="A3:B3"/>
    <mergeCell ref="C3:D3"/>
    <mergeCell ref="A4:D4"/>
  </mergeCells>
  <pageMargins left="0.51181102362204722" right="0.51181102362204722" top="0.78740157480314965" bottom="0.78740157480314965" header="0.31496062992125984" footer="0.31496062992125984"/>
  <pageSetup scale="21" orientation="portrait" horizontalDpi="30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02E00F-DBE4-4B38-B453-617B1D7E4102}">
  <sheetPr>
    <pageSetUpPr fitToPage="1"/>
  </sheetPr>
  <dimension ref="A1:D215"/>
  <sheetViews>
    <sheetView view="pageBreakPreview" zoomScale="85" zoomScaleNormal="85" zoomScaleSheetLayoutView="85" workbookViewId="0">
      <selection activeCell="C67" sqref="C67"/>
    </sheetView>
  </sheetViews>
  <sheetFormatPr defaultColWidth="9.1796875" defaultRowHeight="15" customHeight="1" outlineLevelRow="3" x14ac:dyDescent="0.35"/>
  <cols>
    <col min="1" max="1" width="16.7265625" customWidth="1"/>
    <col min="2" max="2" width="76.81640625" customWidth="1"/>
    <col min="3" max="3" width="22.81640625" customWidth="1"/>
    <col min="4" max="4" width="23.54296875" customWidth="1"/>
  </cols>
  <sheetData>
    <row r="1" spans="1:4" x14ac:dyDescent="0.35">
      <c r="A1" s="683" t="s">
        <v>6</v>
      </c>
      <c r="B1" s="683"/>
      <c r="C1" s="683"/>
      <c r="D1" s="683"/>
    </row>
    <row r="2" spans="1:4" x14ac:dyDescent="0.35">
      <c r="A2" s="684" t="s">
        <v>12</v>
      </c>
      <c r="B2" s="684"/>
      <c r="C2" s="685" t="s">
        <v>519</v>
      </c>
      <c r="D2" s="686"/>
    </row>
    <row r="3" spans="1:4" x14ac:dyDescent="0.35">
      <c r="A3" s="684" t="s">
        <v>13</v>
      </c>
      <c r="B3" s="684"/>
      <c r="C3" s="685" t="s">
        <v>520</v>
      </c>
      <c r="D3" s="686"/>
    </row>
    <row r="4" spans="1:4" x14ac:dyDescent="0.35">
      <c r="A4" s="687"/>
      <c r="B4" s="687"/>
      <c r="C4" s="687"/>
      <c r="D4" s="687"/>
    </row>
    <row r="5" spans="1:4" x14ac:dyDescent="0.35">
      <c r="A5" s="687" t="s">
        <v>14</v>
      </c>
      <c r="B5" s="687"/>
      <c r="C5" s="687"/>
      <c r="D5" s="687"/>
    </row>
    <row r="6" spans="1:4" x14ac:dyDescent="0.35">
      <c r="A6" s="65" t="s">
        <v>15</v>
      </c>
      <c r="B6" s="63" t="s">
        <v>5</v>
      </c>
      <c r="C6" s="707" t="s">
        <v>144</v>
      </c>
      <c r="D6" s="708"/>
    </row>
    <row r="7" spans="1:4" x14ac:dyDescent="0.35">
      <c r="A7" s="65" t="s">
        <v>16</v>
      </c>
      <c r="B7" s="63" t="s">
        <v>4</v>
      </c>
      <c r="C7" s="690" t="s">
        <v>549</v>
      </c>
      <c r="D7" s="690"/>
    </row>
    <row r="8" spans="1:4" x14ac:dyDescent="0.35">
      <c r="A8" s="25" t="s">
        <v>17</v>
      </c>
      <c r="B8" s="26" t="s">
        <v>18</v>
      </c>
      <c r="C8" s="722" t="s">
        <v>521</v>
      </c>
      <c r="D8" s="723"/>
    </row>
    <row r="9" spans="1:4" x14ac:dyDescent="0.35">
      <c r="A9" s="65" t="s">
        <v>19</v>
      </c>
      <c r="B9" s="63" t="s">
        <v>20</v>
      </c>
      <c r="C9" s="700" t="s">
        <v>21</v>
      </c>
      <c r="D9" s="701"/>
    </row>
    <row r="10" spans="1:4" x14ac:dyDescent="0.35">
      <c r="A10" s="65" t="s">
        <v>22</v>
      </c>
      <c r="B10" s="63" t="s">
        <v>23</v>
      </c>
      <c r="C10" s="700" t="s">
        <v>262</v>
      </c>
      <c r="D10" s="701"/>
    </row>
    <row r="11" spans="1:4" x14ac:dyDescent="0.35">
      <c r="A11" s="65" t="s">
        <v>24</v>
      </c>
      <c r="B11" s="63" t="s">
        <v>251</v>
      </c>
      <c r="C11" s="691">
        <f>Resumo!F18</f>
        <v>5840.05</v>
      </c>
      <c r="D11" s="692"/>
    </row>
    <row r="12" spans="1:4" x14ac:dyDescent="0.35">
      <c r="A12" s="65" t="s">
        <v>25</v>
      </c>
      <c r="B12" s="63" t="s">
        <v>26</v>
      </c>
      <c r="C12" s="693">
        <f>Resumo!I5</f>
        <v>20</v>
      </c>
      <c r="D12" s="694"/>
    </row>
    <row r="13" spans="1:4" x14ac:dyDescent="0.35">
      <c r="A13" s="695"/>
      <c r="B13" s="696"/>
      <c r="C13" s="696"/>
      <c r="D13" s="696"/>
    </row>
    <row r="14" spans="1:4" x14ac:dyDescent="0.35">
      <c r="A14" s="697" t="s">
        <v>27</v>
      </c>
      <c r="B14" s="698"/>
      <c r="C14" s="698"/>
      <c r="D14" s="699"/>
    </row>
    <row r="15" spans="1:4" x14ac:dyDescent="0.35">
      <c r="A15" s="690" t="s">
        <v>28</v>
      </c>
      <c r="B15" s="690"/>
      <c r="C15" s="690"/>
      <c r="D15" s="690"/>
    </row>
    <row r="16" spans="1:4" x14ac:dyDescent="0.35">
      <c r="A16" s="65">
        <v>1</v>
      </c>
      <c r="B16" s="63" t="s">
        <v>29</v>
      </c>
      <c r="C16" s="700" t="s">
        <v>266</v>
      </c>
      <c r="D16" s="701" t="s">
        <v>0</v>
      </c>
    </row>
    <row r="17" spans="1:4" x14ac:dyDescent="0.35">
      <c r="A17" s="65">
        <v>2</v>
      </c>
      <c r="B17" s="27" t="s">
        <v>30</v>
      </c>
      <c r="C17" s="688" t="s">
        <v>263</v>
      </c>
      <c r="D17" s="689"/>
    </row>
    <row r="18" spans="1:4" x14ac:dyDescent="0.35">
      <c r="A18" s="690" t="s">
        <v>31</v>
      </c>
      <c r="B18" s="690"/>
      <c r="C18" s="690"/>
      <c r="D18" s="690"/>
    </row>
    <row r="19" spans="1:4" x14ac:dyDescent="0.4">
      <c r="A19" s="65">
        <v>3</v>
      </c>
      <c r="B19" s="632" t="s">
        <v>3</v>
      </c>
      <c r="C19" s="633"/>
      <c r="D19" s="103">
        <v>1217</v>
      </c>
    </row>
    <row r="20" spans="1:4" x14ac:dyDescent="0.4">
      <c r="A20" s="65">
        <v>4</v>
      </c>
      <c r="B20" s="632" t="s">
        <v>252</v>
      </c>
      <c r="C20" s="633"/>
      <c r="D20" s="155">
        <v>220</v>
      </c>
    </row>
    <row r="21" spans="1:4" x14ac:dyDescent="0.35">
      <c r="A21" s="65">
        <v>5</v>
      </c>
      <c r="B21" s="632" t="s">
        <v>32</v>
      </c>
      <c r="C21" s="633"/>
      <c r="D21" s="73" t="s">
        <v>267</v>
      </c>
    </row>
    <row r="22" spans="1:4" x14ac:dyDescent="0.35">
      <c r="A22" s="65">
        <v>6</v>
      </c>
      <c r="B22" s="632" t="s">
        <v>2</v>
      </c>
      <c r="C22" s="633"/>
      <c r="D22" s="74">
        <v>44562</v>
      </c>
    </row>
    <row r="23" spans="1:4" x14ac:dyDescent="0.35">
      <c r="A23" s="700"/>
      <c r="B23" s="711"/>
      <c r="C23" s="711"/>
      <c r="D23" s="701"/>
    </row>
    <row r="24" spans="1:4" x14ac:dyDescent="0.35">
      <c r="A24" s="712" t="s">
        <v>33</v>
      </c>
      <c r="B24" s="712"/>
      <c r="C24" s="712"/>
      <c r="D24" s="712"/>
    </row>
    <row r="25" spans="1:4" x14ac:dyDescent="0.35">
      <c r="A25" s="713"/>
      <c r="B25" s="714"/>
      <c r="C25" s="714"/>
      <c r="D25" s="694"/>
    </row>
    <row r="26" spans="1:4" x14ac:dyDescent="0.35">
      <c r="A26" s="64">
        <v>1</v>
      </c>
      <c r="B26" s="634" t="s">
        <v>34</v>
      </c>
      <c r="C26" s="636"/>
      <c r="D26" s="64" t="s">
        <v>35</v>
      </c>
    </row>
    <row r="27" spans="1:4" outlineLevel="1" x14ac:dyDescent="0.35">
      <c r="A27" s="65" t="s">
        <v>36</v>
      </c>
      <c r="B27" s="63" t="s">
        <v>146</v>
      </c>
      <c r="C27" s="71">
        <f>'SR - ASG int'!C27</f>
        <v>220</v>
      </c>
      <c r="D27" s="104">
        <f>D19/220*C27</f>
        <v>1217</v>
      </c>
    </row>
    <row r="28" spans="1:4" outlineLevel="1" x14ac:dyDescent="0.35">
      <c r="A28" s="65" t="s">
        <v>16</v>
      </c>
      <c r="B28" s="63" t="s">
        <v>37</v>
      </c>
      <c r="C28" s="28">
        <v>0.1</v>
      </c>
      <c r="D28" s="104">
        <f>D27*10%</f>
        <v>121.7</v>
      </c>
    </row>
    <row r="29" spans="1:4" outlineLevel="1" x14ac:dyDescent="0.35">
      <c r="A29" s="65" t="s">
        <v>17</v>
      </c>
      <c r="B29" s="63" t="s">
        <v>38</v>
      </c>
      <c r="C29" s="28">
        <v>0.2</v>
      </c>
      <c r="D29" s="104">
        <v>0</v>
      </c>
    </row>
    <row r="30" spans="1:4" outlineLevel="1" x14ac:dyDescent="0.35">
      <c r="A30" s="65" t="s">
        <v>19</v>
      </c>
      <c r="B30" s="63" t="s">
        <v>148</v>
      </c>
      <c r="C30" s="156">
        <v>0</v>
      </c>
      <c r="D30" s="105">
        <f>SUM(D31:D32)</f>
        <v>0</v>
      </c>
    </row>
    <row r="31" spans="1:4" outlineLevel="2" x14ac:dyDescent="0.35">
      <c r="A31" s="78" t="s">
        <v>111</v>
      </c>
      <c r="B31" s="63" t="s">
        <v>149</v>
      </c>
      <c r="C31" s="79">
        <v>0.2</v>
      </c>
      <c r="D31" s="105">
        <f>(SUM(D27:D29)/C27)*C31*15*C30</f>
        <v>0</v>
      </c>
    </row>
    <row r="32" spans="1:4" outlineLevel="2" x14ac:dyDescent="0.35">
      <c r="A32" s="78" t="s">
        <v>112</v>
      </c>
      <c r="B32" s="63" t="s">
        <v>150</v>
      </c>
      <c r="C32" s="80">
        <f>C30*(60/52.5)/8</f>
        <v>0</v>
      </c>
      <c r="D32" s="105">
        <f>(SUM(D27:D29)/C27)*(C31)*15*C32</f>
        <v>0</v>
      </c>
    </row>
    <row r="33" spans="1:4" outlineLevel="1" x14ac:dyDescent="0.35">
      <c r="A33" s="65" t="s">
        <v>22</v>
      </c>
      <c r="B33" s="63" t="s">
        <v>151</v>
      </c>
      <c r="C33" s="28" t="s">
        <v>152</v>
      </c>
      <c r="D33" s="1">
        <f>SUM(D34:D37)</f>
        <v>0</v>
      </c>
    </row>
    <row r="34" spans="1:4" outlineLevel="2" x14ac:dyDescent="0.35">
      <c r="A34" s="81" t="s">
        <v>153</v>
      </c>
      <c r="B34" s="82" t="s">
        <v>154</v>
      </c>
      <c r="C34" s="83">
        <v>0</v>
      </c>
      <c r="D34" s="106">
        <f>(SUM($D$27:$D$29)/$C$27)*C34*1.5</f>
        <v>0</v>
      </c>
    </row>
    <row r="35" spans="1:4" outlineLevel="2" x14ac:dyDescent="0.35">
      <c r="A35" s="81" t="s">
        <v>155</v>
      </c>
      <c r="B35" s="84" t="s">
        <v>156</v>
      </c>
      <c r="C35" s="85">
        <v>0</v>
      </c>
      <c r="D35" s="106">
        <f>(SUM($D$27:$D$29)/$C$27)*C35*((60/52.5)*1.2*1.5)</f>
        <v>0</v>
      </c>
    </row>
    <row r="36" spans="1:4" outlineLevel="2" x14ac:dyDescent="0.35">
      <c r="A36" s="81" t="s">
        <v>157</v>
      </c>
      <c r="B36" s="82" t="s">
        <v>158</v>
      </c>
      <c r="C36" s="86">
        <f>C34*0.1429</f>
        <v>0</v>
      </c>
      <c r="D36" s="106">
        <f>(SUM($D$27:$D$29)/$C$27)*C36*2</f>
        <v>0</v>
      </c>
    </row>
    <row r="37" spans="1:4" outlineLevel="2" x14ac:dyDescent="0.35">
      <c r="A37" s="81" t="s">
        <v>159</v>
      </c>
      <c r="B37" s="82" t="s">
        <v>160</v>
      </c>
      <c r="C37" s="86">
        <f>C34*0.1429</f>
        <v>0</v>
      </c>
      <c r="D37" s="106">
        <f>(SUM($D$27:$D$29)/$C$27)*C37*((60/52.5)*1.2*2)</f>
        <v>0</v>
      </c>
    </row>
    <row r="38" spans="1:4" outlineLevel="1" x14ac:dyDescent="0.35">
      <c r="A38" s="65" t="s">
        <v>24</v>
      </c>
      <c r="B38" s="55" t="s">
        <v>526</v>
      </c>
      <c r="C38" s="56">
        <v>0</v>
      </c>
      <c r="D38" s="107">
        <v>283.72000000000003</v>
      </c>
    </row>
    <row r="39" spans="1:4" x14ac:dyDescent="0.35">
      <c r="A39" s="634" t="s">
        <v>40</v>
      </c>
      <c r="B39" s="635"/>
      <c r="C39" s="636"/>
      <c r="D39" s="108">
        <f>SUM(D27:D30,D33,D38)</f>
        <v>1622.42</v>
      </c>
    </row>
    <row r="40" spans="1:4" x14ac:dyDescent="0.35">
      <c r="A40" s="650"/>
      <c r="B40" s="650"/>
      <c r="C40" s="650"/>
      <c r="D40" s="650"/>
    </row>
    <row r="41" spans="1:4" outlineLevel="1" x14ac:dyDescent="0.35">
      <c r="A41" s="87" t="s">
        <v>161</v>
      </c>
      <c r="B41" s="109" t="s">
        <v>162</v>
      </c>
      <c r="C41" s="110" t="s">
        <v>163</v>
      </c>
      <c r="D41" s="110" t="s">
        <v>35</v>
      </c>
    </row>
    <row r="42" spans="1:4" outlineLevel="1" x14ac:dyDescent="0.35">
      <c r="A42" s="111" t="s">
        <v>36</v>
      </c>
      <c r="B42" s="27" t="s">
        <v>164</v>
      </c>
      <c r="C42" s="88">
        <v>0</v>
      </c>
      <c r="D42" s="112">
        <f>(SUM(D27)/$C$27)*C42*1.5</f>
        <v>0</v>
      </c>
    </row>
    <row r="43" spans="1:4" outlineLevel="1" x14ac:dyDescent="0.35">
      <c r="A43" s="113" t="s">
        <v>17</v>
      </c>
      <c r="B43" s="114" t="s">
        <v>165</v>
      </c>
      <c r="C43" s="115">
        <v>0</v>
      </c>
      <c r="D43" s="104">
        <f>C43*177</f>
        <v>0</v>
      </c>
    </row>
    <row r="44" spans="1:4" outlineLevel="1" x14ac:dyDescent="0.35">
      <c r="A44" s="65" t="s">
        <v>19</v>
      </c>
      <c r="B44" s="55" t="s">
        <v>39</v>
      </c>
      <c r="C44" s="56">
        <v>0</v>
      </c>
      <c r="D44" s="107">
        <v>0</v>
      </c>
    </row>
    <row r="45" spans="1:4" x14ac:dyDescent="0.35">
      <c r="A45" s="644" t="s">
        <v>166</v>
      </c>
      <c r="B45" s="645"/>
      <c r="C45" s="30">
        <f>D45/D39</f>
        <v>0</v>
      </c>
      <c r="D45" s="116">
        <f>SUM(D42:D43)</f>
        <v>0</v>
      </c>
    </row>
    <row r="46" spans="1:4" x14ac:dyDescent="0.35">
      <c r="A46" s="646"/>
      <c r="B46" s="647"/>
      <c r="C46" s="647"/>
      <c r="D46" s="648"/>
    </row>
    <row r="47" spans="1:4" x14ac:dyDescent="0.35">
      <c r="A47" s="663" t="s">
        <v>41</v>
      </c>
      <c r="B47" s="664"/>
      <c r="C47" s="664"/>
      <c r="D47" s="665"/>
    </row>
    <row r="48" spans="1:4" outlineLevel="1" x14ac:dyDescent="0.35">
      <c r="A48" s="646"/>
      <c r="B48" s="647"/>
      <c r="C48" s="647"/>
      <c r="D48" s="648"/>
    </row>
    <row r="49" spans="1:4" outlineLevel="1" x14ac:dyDescent="0.35">
      <c r="A49" s="110" t="s">
        <v>42</v>
      </c>
      <c r="B49" s="109" t="s">
        <v>43</v>
      </c>
      <c r="C49" s="110" t="s">
        <v>44</v>
      </c>
      <c r="D49" s="110" t="s">
        <v>35</v>
      </c>
    </row>
    <row r="50" spans="1:4" outlineLevel="2" x14ac:dyDescent="0.35">
      <c r="A50" s="113" t="s">
        <v>36</v>
      </c>
      <c r="B50" s="114" t="s">
        <v>45</v>
      </c>
      <c r="C50" s="29">
        <f>1/12</f>
        <v>8.3299999999999999E-2</v>
      </c>
      <c r="D50" s="104">
        <f>C50*D39</f>
        <v>135.15</v>
      </c>
    </row>
    <row r="51" spans="1:4" outlineLevel="2" x14ac:dyDescent="0.35">
      <c r="A51" s="113" t="s">
        <v>16</v>
      </c>
      <c r="B51" s="114" t="s">
        <v>113</v>
      </c>
      <c r="C51" s="29">
        <f>IF(C12&gt;60,(1/C12/3)*5,IF(C12&gt;48,(1/C12/3)*4,IF(C12&gt;36,(1/C12/3)*3,IF(C12&gt;24,(1/C12/3)*2,IF(C12&gt;12,(1/C12/3)*1,0)))))</f>
        <v>1.67E-2</v>
      </c>
      <c r="D51" s="104">
        <f>C51*D39</f>
        <v>27.09</v>
      </c>
    </row>
    <row r="52" spans="1:4" outlineLevel="1" x14ac:dyDescent="0.35">
      <c r="A52" s="644" t="s">
        <v>11</v>
      </c>
      <c r="B52" s="645"/>
      <c r="C52" s="30">
        <f>SUM(C50:C51)</f>
        <v>0.1</v>
      </c>
      <c r="D52" s="116">
        <f>SUM(D50:D51)</f>
        <v>162.24</v>
      </c>
    </row>
    <row r="53" spans="1:4" outlineLevel="1" x14ac:dyDescent="0.35">
      <c r="A53" s="646"/>
      <c r="B53" s="647"/>
      <c r="C53" s="647"/>
      <c r="D53" s="648"/>
    </row>
    <row r="54" spans="1:4" outlineLevel="1" x14ac:dyDescent="0.35">
      <c r="A54" s="110" t="s">
        <v>46</v>
      </c>
      <c r="B54" s="117" t="s">
        <v>47</v>
      </c>
      <c r="C54" s="110" t="s">
        <v>44</v>
      </c>
      <c r="D54" s="118" t="s">
        <v>35</v>
      </c>
    </row>
    <row r="55" spans="1:4" outlineLevel="2" x14ac:dyDescent="0.35">
      <c r="A55" s="111" t="s">
        <v>36</v>
      </c>
      <c r="B55" s="31" t="s">
        <v>48</v>
      </c>
      <c r="C55" s="32">
        <v>0.2</v>
      </c>
      <c r="D55" s="104">
        <f t="shared" ref="D55:D62" si="0">C55*($D$39+$D$52)</f>
        <v>356.93</v>
      </c>
    </row>
    <row r="56" spans="1:4" outlineLevel="2" x14ac:dyDescent="0.35">
      <c r="A56" s="111" t="s">
        <v>16</v>
      </c>
      <c r="B56" s="31" t="s">
        <v>49</v>
      </c>
      <c r="C56" s="32">
        <v>2.5000000000000001E-2</v>
      </c>
      <c r="D56" s="104">
        <f t="shared" si="0"/>
        <v>44.62</v>
      </c>
    </row>
    <row r="57" spans="1:4" outlineLevel="2" x14ac:dyDescent="0.35">
      <c r="A57" s="111" t="s">
        <v>17</v>
      </c>
      <c r="B57" s="31" t="s">
        <v>167</v>
      </c>
      <c r="C57" s="66">
        <v>0.03</v>
      </c>
      <c r="D57" s="104">
        <f t="shared" si="0"/>
        <v>53.54</v>
      </c>
    </row>
    <row r="58" spans="1:4" outlineLevel="2" x14ac:dyDescent="0.35">
      <c r="A58" s="111" t="s">
        <v>19</v>
      </c>
      <c r="B58" s="31" t="s">
        <v>168</v>
      </c>
      <c r="C58" s="32">
        <v>1.4999999999999999E-2</v>
      </c>
      <c r="D58" s="104">
        <f t="shared" si="0"/>
        <v>26.77</v>
      </c>
    </row>
    <row r="59" spans="1:4" outlineLevel="2" x14ac:dyDescent="0.35">
      <c r="A59" s="111" t="s">
        <v>22</v>
      </c>
      <c r="B59" s="31" t="s">
        <v>169</v>
      </c>
      <c r="C59" s="32">
        <v>0.01</v>
      </c>
      <c r="D59" s="104">
        <f t="shared" si="0"/>
        <v>17.850000000000001</v>
      </c>
    </row>
    <row r="60" spans="1:4" outlineLevel="2" x14ac:dyDescent="0.35">
      <c r="A60" s="111" t="s">
        <v>24</v>
      </c>
      <c r="B60" s="31" t="s">
        <v>50</v>
      </c>
      <c r="C60" s="32">
        <v>6.0000000000000001E-3</v>
      </c>
      <c r="D60" s="104">
        <f t="shared" si="0"/>
        <v>10.71</v>
      </c>
    </row>
    <row r="61" spans="1:4" outlineLevel="2" x14ac:dyDescent="0.35">
      <c r="A61" s="111" t="s">
        <v>25</v>
      </c>
      <c r="B61" s="31" t="s">
        <v>51</v>
      </c>
      <c r="C61" s="32">
        <v>2E-3</v>
      </c>
      <c r="D61" s="104">
        <f t="shared" si="0"/>
        <v>3.57</v>
      </c>
    </row>
    <row r="62" spans="1:4" outlineLevel="2" x14ac:dyDescent="0.35">
      <c r="A62" s="111" t="s">
        <v>52</v>
      </c>
      <c r="B62" s="31" t="s">
        <v>53</v>
      </c>
      <c r="C62" s="32">
        <v>0.08</v>
      </c>
      <c r="D62" s="104">
        <f t="shared" si="0"/>
        <v>142.77000000000001</v>
      </c>
    </row>
    <row r="63" spans="1:4" outlineLevel="1" x14ac:dyDescent="0.35">
      <c r="A63" s="644" t="s">
        <v>11</v>
      </c>
      <c r="B63" s="645"/>
      <c r="C63" s="33">
        <f>SUM(C55:C62)</f>
        <v>0.36799999999999999</v>
      </c>
      <c r="D63" s="119">
        <f>SUM(D55:D62)</f>
        <v>656.76</v>
      </c>
    </row>
    <row r="64" spans="1:4" outlineLevel="1" x14ac:dyDescent="0.35">
      <c r="A64" s="646"/>
      <c r="B64" s="647"/>
      <c r="C64" s="647"/>
      <c r="D64" s="648"/>
    </row>
    <row r="65" spans="1:4" outlineLevel="1" x14ac:dyDescent="0.35">
      <c r="A65" s="110" t="s">
        <v>54</v>
      </c>
      <c r="B65" s="117" t="s">
        <v>55</v>
      </c>
      <c r="C65" s="110" t="s">
        <v>56</v>
      </c>
      <c r="D65" s="110" t="s">
        <v>35</v>
      </c>
    </row>
    <row r="66" spans="1:4" outlineLevel="2" x14ac:dyDescent="0.35">
      <c r="A66" s="111" t="s">
        <v>36</v>
      </c>
      <c r="B66" s="31" t="s">
        <v>57</v>
      </c>
      <c r="C66" s="120">
        <f>NVI!C66</f>
        <v>0</v>
      </c>
      <c r="D66" s="121">
        <f>IF(D67+D68&gt;0,(D67+D68),0)</f>
        <v>0</v>
      </c>
    </row>
    <row r="67" spans="1:4" outlineLevel="3" x14ac:dyDescent="0.35">
      <c r="A67" s="122" t="s">
        <v>110</v>
      </c>
      <c r="B67" s="31" t="s">
        <v>170</v>
      </c>
      <c r="C67" s="123">
        <v>21</v>
      </c>
      <c r="D67" s="124">
        <f>C66*C67*2</f>
        <v>0</v>
      </c>
    </row>
    <row r="68" spans="1:4" outlineLevel="3" x14ac:dyDescent="0.35">
      <c r="A68" s="122" t="s">
        <v>114</v>
      </c>
      <c r="B68" s="31" t="s">
        <v>171</v>
      </c>
      <c r="C68" s="125">
        <v>0.06</v>
      </c>
      <c r="D68" s="124">
        <f>-D27*C68</f>
        <v>-73.02</v>
      </c>
    </row>
    <row r="69" spans="1:4" outlineLevel="2" x14ac:dyDescent="0.35">
      <c r="A69" s="111" t="s">
        <v>16</v>
      </c>
      <c r="B69" s="31" t="s">
        <v>58</v>
      </c>
      <c r="C69" s="126">
        <f>'SR - ASG int'!C69</f>
        <v>13.18</v>
      </c>
      <c r="D69" s="121">
        <f>D70+D71</f>
        <v>276.77999999999997</v>
      </c>
    </row>
    <row r="70" spans="1:4" outlineLevel="3" x14ac:dyDescent="0.35">
      <c r="A70" s="122" t="s">
        <v>90</v>
      </c>
      <c r="B70" s="31" t="s">
        <v>172</v>
      </c>
      <c r="C70" s="123">
        <v>21</v>
      </c>
      <c r="D70" s="124">
        <f>C69*C70</f>
        <v>276.77999999999997</v>
      </c>
    </row>
    <row r="71" spans="1:4" outlineLevel="3" x14ac:dyDescent="0.35">
      <c r="A71" s="122" t="s">
        <v>115</v>
      </c>
      <c r="B71" s="31" t="s">
        <v>91</v>
      </c>
      <c r="C71" s="127">
        <f>'SR - ASG int'!C71</f>
        <v>0</v>
      </c>
      <c r="D71" s="124">
        <f>D70*C71</f>
        <v>0</v>
      </c>
    </row>
    <row r="72" spans="1:4" outlineLevel="2" x14ac:dyDescent="0.35">
      <c r="A72" s="111" t="s">
        <v>17</v>
      </c>
      <c r="B72" s="75" t="s">
        <v>291</v>
      </c>
      <c r="C72" s="126">
        <f>'SR - ASG int'!C72</f>
        <v>9.6999999999999993</v>
      </c>
      <c r="D72" s="129">
        <f>C72</f>
        <v>9.6999999999999993</v>
      </c>
    </row>
    <row r="73" spans="1:4" outlineLevel="2" x14ac:dyDescent="0.35">
      <c r="A73" s="111" t="s">
        <v>19</v>
      </c>
      <c r="B73" s="76" t="s">
        <v>293</v>
      </c>
      <c r="C73" s="126">
        <f>140*3</f>
        <v>420</v>
      </c>
      <c r="D73" s="129">
        <f>C73*C152</f>
        <v>0.84</v>
      </c>
    </row>
    <row r="74" spans="1:4" outlineLevel="2" x14ac:dyDescent="0.35">
      <c r="A74" s="111" t="s">
        <v>22</v>
      </c>
      <c r="B74" s="75" t="s">
        <v>292</v>
      </c>
      <c r="C74" s="126">
        <v>21</v>
      </c>
      <c r="D74" s="129">
        <f>C74</f>
        <v>21</v>
      </c>
    </row>
    <row r="75" spans="1:4" outlineLevel="2" x14ac:dyDescent="0.35">
      <c r="A75" s="111" t="s">
        <v>24</v>
      </c>
      <c r="B75" s="75" t="s">
        <v>39</v>
      </c>
      <c r="C75" s="128">
        <v>0</v>
      </c>
      <c r="D75" s="129">
        <f>C75*D39</f>
        <v>0</v>
      </c>
    </row>
    <row r="76" spans="1:4" outlineLevel="2" x14ac:dyDescent="0.35">
      <c r="A76" s="111" t="s">
        <v>25</v>
      </c>
      <c r="B76" s="75" t="s">
        <v>39</v>
      </c>
      <c r="C76" s="126">
        <v>0</v>
      </c>
      <c r="D76" s="130">
        <f>C76</f>
        <v>0</v>
      </c>
    </row>
    <row r="77" spans="1:4" outlineLevel="1" x14ac:dyDescent="0.35">
      <c r="A77" s="644" t="s">
        <v>59</v>
      </c>
      <c r="B77" s="657"/>
      <c r="C77" s="645"/>
      <c r="D77" s="116">
        <f>SUM(D66,D69,D72:D76)</f>
        <v>308.32</v>
      </c>
    </row>
    <row r="78" spans="1:4" outlineLevel="1" x14ac:dyDescent="0.35">
      <c r="A78" s="646"/>
      <c r="B78" s="647"/>
      <c r="C78" s="647"/>
      <c r="D78" s="648"/>
    </row>
    <row r="79" spans="1:4" outlineLevel="1" x14ac:dyDescent="0.35">
      <c r="A79" s="661" t="s">
        <v>60</v>
      </c>
      <c r="B79" s="662"/>
      <c r="C79" s="110" t="s">
        <v>44</v>
      </c>
      <c r="D79" s="110" t="s">
        <v>35</v>
      </c>
    </row>
    <row r="80" spans="1:4" outlineLevel="1" x14ac:dyDescent="0.35">
      <c r="A80" s="111" t="s">
        <v>61</v>
      </c>
      <c r="B80" s="31" t="s">
        <v>43</v>
      </c>
      <c r="C80" s="34">
        <f>C52</f>
        <v>0.1</v>
      </c>
      <c r="D80" s="104">
        <f>D52</f>
        <v>162.24</v>
      </c>
    </row>
    <row r="81" spans="1:4" outlineLevel="1" x14ac:dyDescent="0.35">
      <c r="A81" s="111" t="s">
        <v>46</v>
      </c>
      <c r="B81" s="31" t="s">
        <v>47</v>
      </c>
      <c r="C81" s="34">
        <f>C63</f>
        <v>0.36799999999999999</v>
      </c>
      <c r="D81" s="104">
        <f>D63</f>
        <v>656.76</v>
      </c>
    </row>
    <row r="82" spans="1:4" outlineLevel="1" x14ac:dyDescent="0.35">
      <c r="A82" s="111" t="s">
        <v>62</v>
      </c>
      <c r="B82" s="31" t="s">
        <v>55</v>
      </c>
      <c r="C82" s="34">
        <f>D77/D39</f>
        <v>0.19</v>
      </c>
      <c r="D82" s="104">
        <f>D77</f>
        <v>308.32</v>
      </c>
    </row>
    <row r="83" spans="1:4" x14ac:dyDescent="0.35">
      <c r="A83" s="644" t="s">
        <v>11</v>
      </c>
      <c r="B83" s="657"/>
      <c r="C83" s="645"/>
      <c r="D83" s="116">
        <f>SUM(D80:D82)</f>
        <v>1127.32</v>
      </c>
    </row>
    <row r="84" spans="1:4" x14ac:dyDescent="0.35">
      <c r="A84" s="646"/>
      <c r="B84" s="647"/>
      <c r="C84" s="647"/>
      <c r="D84" s="648"/>
    </row>
    <row r="85" spans="1:4" x14ac:dyDescent="0.35">
      <c r="A85" s="680" t="s">
        <v>173</v>
      </c>
      <c r="B85" s="681"/>
      <c r="C85" s="681"/>
      <c r="D85" s="682"/>
    </row>
    <row r="86" spans="1:4" outlineLevel="1" x14ac:dyDescent="0.35">
      <c r="A86" s="646"/>
      <c r="B86" s="647"/>
      <c r="C86" s="647"/>
      <c r="D86" s="648"/>
    </row>
    <row r="87" spans="1:4" outlineLevel="1" x14ac:dyDescent="0.35">
      <c r="A87" s="64" t="s">
        <v>174</v>
      </c>
      <c r="B87" s="109" t="s">
        <v>175</v>
      </c>
      <c r="C87" s="110" t="s">
        <v>44</v>
      </c>
      <c r="D87" s="110" t="s">
        <v>35</v>
      </c>
    </row>
    <row r="88" spans="1:4" outlineLevel="2" x14ac:dyDescent="0.35">
      <c r="A88" s="35" t="s">
        <v>36</v>
      </c>
      <c r="B88" s="36" t="s">
        <v>176</v>
      </c>
      <c r="C88" s="35" t="s">
        <v>152</v>
      </c>
      <c r="D88" s="131">
        <f>IF(C99&gt;1,SUM(D89:D92)*2,SUM(D89:D92))</f>
        <v>2286.27</v>
      </c>
    </row>
    <row r="89" spans="1:4" outlineLevel="3" x14ac:dyDescent="0.35">
      <c r="A89" s="37" t="s">
        <v>177</v>
      </c>
      <c r="B89" s="38" t="s">
        <v>178</v>
      </c>
      <c r="C89" s="35">
        <f>(IF(C12&gt;60,45,IF(C12&gt;48,42,IF(C12&gt;36,39,IF(C12&gt;24,36,IF(C12&gt;12,33,30)))))/30)</f>
        <v>1.1000000000000001</v>
      </c>
      <c r="D89" s="131">
        <f>D39*C89</f>
        <v>1784.66</v>
      </c>
    </row>
    <row r="90" spans="1:4" outlineLevel="3" x14ac:dyDescent="0.35">
      <c r="A90" s="37" t="s">
        <v>179</v>
      </c>
      <c r="B90" s="38" t="s">
        <v>180</v>
      </c>
      <c r="C90" s="29">
        <f>1/12</f>
        <v>8.3299999999999999E-2</v>
      </c>
      <c r="D90" s="131">
        <f>C90*D89</f>
        <v>148.66</v>
      </c>
    </row>
    <row r="91" spans="1:4" outlineLevel="3" x14ac:dyDescent="0.35">
      <c r="A91" s="37" t="s">
        <v>181</v>
      </c>
      <c r="B91" s="38" t="s">
        <v>182</v>
      </c>
      <c r="C91" s="29">
        <f>(1/12)+(1/12/3)</f>
        <v>0.1111</v>
      </c>
      <c r="D91" s="132">
        <f>C91*D89</f>
        <v>198.28</v>
      </c>
    </row>
    <row r="92" spans="1:4" outlineLevel="3" x14ac:dyDescent="0.35">
      <c r="A92" s="37" t="s">
        <v>183</v>
      </c>
      <c r="B92" s="38" t="s">
        <v>184</v>
      </c>
      <c r="C92" s="39">
        <v>0.08</v>
      </c>
      <c r="D92" s="131">
        <f>SUM(D89:D90)*C92</f>
        <v>154.66999999999999</v>
      </c>
    </row>
    <row r="93" spans="1:4" outlineLevel="2" x14ac:dyDescent="0.35">
      <c r="A93" s="35" t="s">
        <v>16</v>
      </c>
      <c r="B93" s="36" t="s">
        <v>185</v>
      </c>
      <c r="C93" s="40">
        <v>0.4</v>
      </c>
      <c r="D93" s="131">
        <f>C93*D94</f>
        <v>1143.92</v>
      </c>
    </row>
    <row r="94" spans="1:4" outlineLevel="3" x14ac:dyDescent="0.35">
      <c r="A94" s="35" t="s">
        <v>186</v>
      </c>
      <c r="B94" s="36" t="s">
        <v>187</v>
      </c>
      <c r="C94" s="40">
        <f>C62</f>
        <v>0.08</v>
      </c>
      <c r="D94" s="131">
        <f>C94*D95</f>
        <v>2859.79</v>
      </c>
    </row>
    <row r="95" spans="1:4" outlineLevel="3" x14ac:dyDescent="0.35">
      <c r="A95" s="35" t="s">
        <v>188</v>
      </c>
      <c r="B95" s="41" t="s">
        <v>116</v>
      </c>
      <c r="C95" s="42" t="s">
        <v>152</v>
      </c>
      <c r="D95" s="132">
        <f>SUM(D96:D98)</f>
        <v>35747.32</v>
      </c>
    </row>
    <row r="96" spans="1:4" outlineLevel="3" x14ac:dyDescent="0.35">
      <c r="A96" s="37" t="s">
        <v>189</v>
      </c>
      <c r="B96" s="38" t="s">
        <v>190</v>
      </c>
      <c r="C96" s="43">
        <f>C12-C98</f>
        <v>19</v>
      </c>
      <c r="D96" s="131">
        <f>D39*C96</f>
        <v>30825.98</v>
      </c>
    </row>
    <row r="97" spans="1:4" outlineLevel="3" x14ac:dyDescent="0.35">
      <c r="A97" s="37" t="s">
        <v>191</v>
      </c>
      <c r="B97" s="38" t="s">
        <v>192</v>
      </c>
      <c r="C97" s="44">
        <f>C12/12</f>
        <v>1.7</v>
      </c>
      <c r="D97" s="131">
        <f>D39*C97</f>
        <v>2758.11</v>
      </c>
    </row>
    <row r="98" spans="1:4" outlineLevel="3" x14ac:dyDescent="0.35">
      <c r="A98" s="37" t="s">
        <v>193</v>
      </c>
      <c r="B98" s="38" t="s">
        <v>194</v>
      </c>
      <c r="C98" s="42">
        <f>IF(C12&gt;60,5,IF(C12&gt;48,4,IF(C12&gt;36,3,IF(C12&gt;24,2,IF(C12&gt;12,1,0)))))</f>
        <v>1</v>
      </c>
      <c r="D98" s="132">
        <f>D39*C98*1.33333333333333</f>
        <v>2163.23</v>
      </c>
    </row>
    <row r="99" spans="1:4" outlineLevel="1" x14ac:dyDescent="0.35">
      <c r="A99" s="644" t="s">
        <v>11</v>
      </c>
      <c r="B99" s="645"/>
      <c r="C99" s="67">
        <f>'SR - ASG int'!C99</f>
        <v>5.5500000000000001E-2</v>
      </c>
      <c r="D99" s="116">
        <f>IF(C99&gt;1,D88+D93,(D88+D93)*C99)</f>
        <v>190.38</v>
      </c>
    </row>
    <row r="100" spans="1:4" outlineLevel="1" x14ac:dyDescent="0.35">
      <c r="A100" s="658"/>
      <c r="B100" s="659"/>
      <c r="C100" s="659"/>
      <c r="D100" s="660"/>
    </row>
    <row r="101" spans="1:4" outlineLevel="1" x14ac:dyDescent="0.35">
      <c r="A101" s="64" t="s">
        <v>195</v>
      </c>
      <c r="B101" s="109" t="s">
        <v>196</v>
      </c>
      <c r="C101" s="110" t="s">
        <v>44</v>
      </c>
      <c r="D101" s="110" t="s">
        <v>35</v>
      </c>
    </row>
    <row r="102" spans="1:4" outlineLevel="2" x14ac:dyDescent="0.35">
      <c r="A102" s="35" t="s">
        <v>36</v>
      </c>
      <c r="B102" s="41" t="s">
        <v>197</v>
      </c>
      <c r="C102" s="45">
        <f>IF(C111&gt;1,(1/30*7)*2,(1/30*7))</f>
        <v>0.23330000000000001</v>
      </c>
      <c r="D102" s="132">
        <f>C102*SUM(D103:D107)</f>
        <v>674.92</v>
      </c>
    </row>
    <row r="103" spans="1:4" outlineLevel="3" x14ac:dyDescent="0.35">
      <c r="A103" s="37" t="s">
        <v>177</v>
      </c>
      <c r="B103" s="38" t="s">
        <v>198</v>
      </c>
      <c r="C103" s="35">
        <v>1</v>
      </c>
      <c r="D103" s="131">
        <f>D39</f>
        <v>1622.42</v>
      </c>
    </row>
    <row r="104" spans="1:4" outlineLevel="3" x14ac:dyDescent="0.35">
      <c r="A104" s="37" t="s">
        <v>179</v>
      </c>
      <c r="B104" s="38" t="s">
        <v>199</v>
      </c>
      <c r="C104" s="29">
        <f>1/12</f>
        <v>8.3299999999999999E-2</v>
      </c>
      <c r="D104" s="131">
        <f>C104*D103</f>
        <v>135.15</v>
      </c>
    </row>
    <row r="105" spans="1:4" outlineLevel="3" x14ac:dyDescent="0.35">
      <c r="A105" s="37" t="s">
        <v>181</v>
      </c>
      <c r="B105" s="38" t="s">
        <v>200</v>
      </c>
      <c r="C105" s="29">
        <f>(1/12)+(1/12/3)</f>
        <v>0.1111</v>
      </c>
      <c r="D105" s="131">
        <f>C105*D103</f>
        <v>180.25</v>
      </c>
    </row>
    <row r="106" spans="1:4" outlineLevel="3" x14ac:dyDescent="0.35">
      <c r="A106" s="37" t="s">
        <v>183</v>
      </c>
      <c r="B106" s="46" t="s">
        <v>63</v>
      </c>
      <c r="C106" s="47">
        <f>C63</f>
        <v>0.36799999999999999</v>
      </c>
      <c r="D106" s="132">
        <f>C106*(D103+D104)</f>
        <v>646.79</v>
      </c>
    </row>
    <row r="107" spans="1:4" outlineLevel="3" x14ac:dyDescent="0.35">
      <c r="A107" s="37" t="s">
        <v>201</v>
      </c>
      <c r="B107" s="46" t="s">
        <v>202</v>
      </c>
      <c r="C107" s="42">
        <v>1</v>
      </c>
      <c r="D107" s="132">
        <f>D77</f>
        <v>308.32</v>
      </c>
    </row>
    <row r="108" spans="1:4" outlineLevel="2" x14ac:dyDescent="0.35">
      <c r="A108" s="35" t="s">
        <v>16</v>
      </c>
      <c r="B108" s="36" t="s">
        <v>203</v>
      </c>
      <c r="C108" s="40">
        <v>0.4</v>
      </c>
      <c r="D108" s="131">
        <f>C108*D109</f>
        <v>1143.92</v>
      </c>
    </row>
    <row r="109" spans="1:4" outlineLevel="2" x14ac:dyDescent="0.35">
      <c r="A109" s="35" t="s">
        <v>186</v>
      </c>
      <c r="B109" s="36" t="s">
        <v>187</v>
      </c>
      <c r="C109" s="40">
        <f>C62</f>
        <v>0.08</v>
      </c>
      <c r="D109" s="131">
        <f>C109*D110</f>
        <v>2859.79</v>
      </c>
    </row>
    <row r="110" spans="1:4" outlineLevel="2" x14ac:dyDescent="0.35">
      <c r="A110" s="35" t="s">
        <v>188</v>
      </c>
      <c r="B110" s="41" t="s">
        <v>116</v>
      </c>
      <c r="C110" s="42" t="s">
        <v>152</v>
      </c>
      <c r="D110" s="132">
        <f>D95</f>
        <v>35747.32</v>
      </c>
    </row>
    <row r="111" spans="1:4" outlineLevel="1" x14ac:dyDescent="0.35">
      <c r="A111" s="644" t="s">
        <v>11</v>
      </c>
      <c r="B111" s="645"/>
      <c r="C111" s="67">
        <f>'SR - ASG int'!C111</f>
        <v>0.94450000000000001</v>
      </c>
      <c r="D111" s="116">
        <f>IF(C111&gt;1,D102+D108,(D102+D108)*C111)</f>
        <v>1717.89</v>
      </c>
    </row>
    <row r="112" spans="1:4" outlineLevel="1" x14ac:dyDescent="0.35">
      <c r="A112" s="658"/>
      <c r="B112" s="659"/>
      <c r="C112" s="659"/>
      <c r="D112" s="660"/>
    </row>
    <row r="113" spans="1:4" outlineLevel="1" x14ac:dyDescent="0.35">
      <c r="A113" s="64" t="s">
        <v>204</v>
      </c>
      <c r="B113" s="109" t="s">
        <v>205</v>
      </c>
      <c r="C113" s="110" t="s">
        <v>44</v>
      </c>
      <c r="D113" s="110" t="s">
        <v>35</v>
      </c>
    </row>
    <row r="114" spans="1:4" outlineLevel="2" x14ac:dyDescent="0.35">
      <c r="A114" s="111" t="s">
        <v>36</v>
      </c>
      <c r="B114" s="31" t="s">
        <v>206</v>
      </c>
      <c r="C114" s="34">
        <f>IF(C12&gt;60,(D39/12*(C12-60))/C12/D39,IF(C12&gt;48,(D39/12*(C12-48))/C12/D39,IF(C12&gt;36,(D39/12*(C12-36))/C12/D39,IF(C12&gt;24,(D39/12*(C12-24))/C12/D39,IF(C12&gt;12,((D39/12*(C12-12))/C12/D39),1/12)))))</f>
        <v>3.3300000000000003E-2</v>
      </c>
      <c r="D114" s="133">
        <f>C114*D39</f>
        <v>54.03</v>
      </c>
    </row>
    <row r="115" spans="1:4" outlineLevel="2" x14ac:dyDescent="0.35">
      <c r="A115" s="111" t="s">
        <v>16</v>
      </c>
      <c r="B115" s="48" t="s">
        <v>207</v>
      </c>
      <c r="C115" s="34">
        <f>C114/3</f>
        <v>1.11E-2</v>
      </c>
      <c r="D115" s="134">
        <f>C115*D39</f>
        <v>18.010000000000002</v>
      </c>
    </row>
    <row r="116" spans="1:4" outlineLevel="1" x14ac:dyDescent="0.35">
      <c r="A116" s="644" t="s">
        <v>11</v>
      </c>
      <c r="B116" s="645"/>
      <c r="C116" s="30">
        <f>C114+C115</f>
        <v>4.4400000000000002E-2</v>
      </c>
      <c r="D116" s="116">
        <f>SUM(D114:D115)</f>
        <v>72.040000000000006</v>
      </c>
    </row>
    <row r="117" spans="1:4" outlineLevel="1" x14ac:dyDescent="0.35">
      <c r="A117" s="658"/>
      <c r="B117" s="659"/>
      <c r="C117" s="659"/>
      <c r="D117" s="660"/>
    </row>
    <row r="118" spans="1:4" outlineLevel="1" x14ac:dyDescent="0.35">
      <c r="A118" s="661" t="s">
        <v>208</v>
      </c>
      <c r="B118" s="662"/>
      <c r="C118" s="110" t="s">
        <v>44</v>
      </c>
      <c r="D118" s="110" t="s">
        <v>35</v>
      </c>
    </row>
    <row r="119" spans="1:4" outlineLevel="1" x14ac:dyDescent="0.35">
      <c r="A119" s="111" t="s">
        <v>174</v>
      </c>
      <c r="B119" s="31" t="s">
        <v>175</v>
      </c>
      <c r="C119" s="34">
        <f>C99</f>
        <v>5.5500000000000001E-2</v>
      </c>
      <c r="D119" s="104">
        <f>D99</f>
        <v>190.38</v>
      </c>
    </row>
    <row r="120" spans="1:4" outlineLevel="1" x14ac:dyDescent="0.35">
      <c r="A120" s="113" t="s">
        <v>195</v>
      </c>
      <c r="B120" s="31" t="s">
        <v>196</v>
      </c>
      <c r="C120" s="49">
        <f>C111</f>
        <v>0.94450000000000001</v>
      </c>
      <c r="D120" s="104">
        <f>D111</f>
        <v>1717.89</v>
      </c>
    </row>
    <row r="121" spans="1:4" outlineLevel="1" x14ac:dyDescent="0.35">
      <c r="A121" s="679" t="s">
        <v>209</v>
      </c>
      <c r="B121" s="679"/>
      <c r="C121" s="679"/>
      <c r="D121" s="135">
        <f>D119+D120</f>
        <v>1908.27</v>
      </c>
    </row>
    <row r="122" spans="1:4" outlineLevel="1" x14ac:dyDescent="0.35">
      <c r="A122" s="675" t="s">
        <v>210</v>
      </c>
      <c r="B122" s="676"/>
      <c r="C122" s="68">
        <f>'SR - ASG int'!C122</f>
        <v>0.63570000000000004</v>
      </c>
      <c r="D122" s="58">
        <f>C122*D121</f>
        <v>1213.0899999999999</v>
      </c>
    </row>
    <row r="123" spans="1:4" outlineLevel="1" x14ac:dyDescent="0.35">
      <c r="A123" s="675" t="s">
        <v>211</v>
      </c>
      <c r="B123" s="676"/>
      <c r="C123" s="68">
        <f>'SR - ASG int'!C123</f>
        <v>1.0999999999999999E-2</v>
      </c>
      <c r="D123" s="58">
        <f>(D50+(D116/2))*-C123</f>
        <v>-1.88</v>
      </c>
    </row>
    <row r="124" spans="1:4" outlineLevel="1" x14ac:dyDescent="0.35">
      <c r="A124" s="677" t="s">
        <v>212</v>
      </c>
      <c r="B124" s="678"/>
      <c r="C124" s="72">
        <f>1/C12</f>
        <v>0.05</v>
      </c>
      <c r="D124" s="59">
        <f>(D122+D123)*C124</f>
        <v>60.56</v>
      </c>
    </row>
    <row r="125" spans="1:4" outlineLevel="1" x14ac:dyDescent="0.35">
      <c r="A125" s="113" t="s">
        <v>204</v>
      </c>
      <c r="B125" s="31" t="s">
        <v>213</v>
      </c>
      <c r="C125" s="49"/>
      <c r="D125" s="124">
        <f>D116</f>
        <v>72.040000000000006</v>
      </c>
    </row>
    <row r="126" spans="1:4" x14ac:dyDescent="0.35">
      <c r="A126" s="644" t="s">
        <v>11</v>
      </c>
      <c r="B126" s="645"/>
      <c r="C126" s="30"/>
      <c r="D126" s="136">
        <f>D124+D125</f>
        <v>132.6</v>
      </c>
    </row>
    <row r="127" spans="1:4" x14ac:dyDescent="0.35">
      <c r="A127" s="646"/>
      <c r="B127" s="647"/>
      <c r="C127" s="647"/>
      <c r="D127" s="648"/>
    </row>
    <row r="128" spans="1:4" x14ac:dyDescent="0.35">
      <c r="A128" s="663" t="s">
        <v>64</v>
      </c>
      <c r="B128" s="664"/>
      <c r="C128" s="664"/>
      <c r="D128" s="665"/>
    </row>
    <row r="129" spans="1:4" outlineLevel="1" x14ac:dyDescent="0.35">
      <c r="A129" s="658"/>
      <c r="B129" s="659"/>
      <c r="C129" s="659"/>
      <c r="D129" s="660"/>
    </row>
    <row r="130" spans="1:4" outlineLevel="1" x14ac:dyDescent="0.35">
      <c r="A130" s="110" t="s">
        <v>65</v>
      </c>
      <c r="B130" s="117" t="s">
        <v>214</v>
      </c>
      <c r="C130" s="30" t="s">
        <v>44</v>
      </c>
      <c r="D130" s="110" t="s">
        <v>35</v>
      </c>
    </row>
    <row r="131" spans="1:4" outlineLevel="2" x14ac:dyDescent="0.35">
      <c r="A131" s="137" t="s">
        <v>36</v>
      </c>
      <c r="B131" s="89" t="s">
        <v>66</v>
      </c>
      <c r="C131" s="50">
        <f>IF(C12&gt;60,5/C12,IF(C12&gt;48,4/C12,IF(C12&gt;36,3/C12,IF(C12&gt;24,2/C12,IF(C12&gt;12,1/C12,0)))))</f>
        <v>0.05</v>
      </c>
      <c r="D131" s="133">
        <f>SUM(D132:D136)</f>
        <v>104.78</v>
      </c>
    </row>
    <row r="132" spans="1:4" outlineLevel="3" x14ac:dyDescent="0.35">
      <c r="A132" s="138" t="s">
        <v>215</v>
      </c>
      <c r="B132" s="90" t="s">
        <v>216</v>
      </c>
      <c r="C132" s="139">
        <f>D39</f>
        <v>1622.42</v>
      </c>
      <c r="D132" s="140">
        <f>$C$131*(D39)-($C$131*(D39)*C137/3)</f>
        <v>81.12</v>
      </c>
    </row>
    <row r="133" spans="1:4" outlineLevel="3" x14ac:dyDescent="0.35">
      <c r="A133" s="138" t="s">
        <v>217</v>
      </c>
      <c r="B133" s="90" t="s">
        <v>218</v>
      </c>
      <c r="C133" s="139">
        <f>(D50)</f>
        <v>135.15</v>
      </c>
      <c r="D133" s="140">
        <f>$C$131*C133-($C$131*C133*C137/3)</f>
        <v>6.76</v>
      </c>
    </row>
    <row r="134" spans="1:4" outlineLevel="3" x14ac:dyDescent="0.35">
      <c r="A134" s="138" t="s">
        <v>219</v>
      </c>
      <c r="B134" s="90" t="s">
        <v>220</v>
      </c>
      <c r="C134" s="141">
        <f>(D39/12)+(D51*IF(C12&gt;60,((C12-60)*(1/60))+1,IF(C12&gt;48,((C12-48)*(1/48))+1,IF(C12&gt;36,((C12-36)*(1/36))+1,IF(C12&gt;24,((C12-24)*(1/24))+1,IF(C12&gt;12,((C12-12)*(1/12))+1,1))))))</f>
        <v>180.35</v>
      </c>
      <c r="D134" s="140">
        <f>$C$131*C134-($C$131*C134*C137/3)</f>
        <v>9.02</v>
      </c>
    </row>
    <row r="135" spans="1:4" outlineLevel="3" x14ac:dyDescent="0.35">
      <c r="A135" s="138" t="s">
        <v>221</v>
      </c>
      <c r="B135" s="90" t="s">
        <v>222</v>
      </c>
      <c r="C135" s="91">
        <f>C63</f>
        <v>0.36799999999999999</v>
      </c>
      <c r="D135" s="140">
        <f>SUM(D132:D134)*C131</f>
        <v>4.8499999999999996</v>
      </c>
    </row>
    <row r="136" spans="1:4" outlineLevel="3" x14ac:dyDescent="0.35">
      <c r="A136" s="138" t="s">
        <v>223</v>
      </c>
      <c r="B136" s="90" t="s">
        <v>224</v>
      </c>
      <c r="C136" s="141">
        <f>D124</f>
        <v>60.56</v>
      </c>
      <c r="D136" s="140">
        <f>C136*C131</f>
        <v>3.03</v>
      </c>
    </row>
    <row r="137" spans="1:4" outlineLevel="2" x14ac:dyDescent="0.35">
      <c r="A137" s="111" t="s">
        <v>16</v>
      </c>
      <c r="B137" s="31" t="s">
        <v>225</v>
      </c>
      <c r="C137" s="92">
        <v>0</v>
      </c>
      <c r="D137" s="124">
        <f>$C$131*(D39)*(C137/3)</f>
        <v>0</v>
      </c>
    </row>
    <row r="138" spans="1:4" outlineLevel="1" x14ac:dyDescent="0.35">
      <c r="A138" s="644" t="s">
        <v>226</v>
      </c>
      <c r="B138" s="645"/>
      <c r="C138" s="30">
        <f>C131+(D137/D39)</f>
        <v>0.05</v>
      </c>
      <c r="D138" s="116">
        <f>SUM(D131:D137)</f>
        <v>209.56</v>
      </c>
    </row>
    <row r="139" spans="1:4" outlineLevel="1" x14ac:dyDescent="0.35">
      <c r="A139" s="658"/>
      <c r="B139" s="659"/>
      <c r="C139" s="659"/>
      <c r="D139" s="660"/>
    </row>
    <row r="140" spans="1:4" outlineLevel="2" x14ac:dyDescent="0.35">
      <c r="A140" s="668" t="s">
        <v>227</v>
      </c>
      <c r="B140" s="142" t="s">
        <v>190</v>
      </c>
      <c r="C140" s="93">
        <v>220</v>
      </c>
      <c r="D140" s="143">
        <f>D39</f>
        <v>1622.42</v>
      </c>
    </row>
    <row r="141" spans="1:4" outlineLevel="2" x14ac:dyDescent="0.35">
      <c r="A141" s="669"/>
      <c r="B141" s="142" t="s">
        <v>228</v>
      </c>
      <c r="C141" s="50">
        <f>(1+(1/3)+1)/12</f>
        <v>0.19439999999999999</v>
      </c>
      <c r="D141" s="144">
        <f>D140*C141</f>
        <v>315.39999999999998</v>
      </c>
    </row>
    <row r="142" spans="1:4" outlineLevel="2" x14ac:dyDescent="0.35">
      <c r="A142" s="669"/>
      <c r="B142" s="142" t="s">
        <v>229</v>
      </c>
      <c r="C142" s="50">
        <f>C63</f>
        <v>0.36799999999999999</v>
      </c>
      <c r="D142" s="144">
        <f>(D140+D141)*C142</f>
        <v>713.12</v>
      </c>
    </row>
    <row r="143" spans="1:4" outlineLevel="2" x14ac:dyDescent="0.35">
      <c r="A143" s="669"/>
      <c r="B143" s="142" t="s">
        <v>230</v>
      </c>
      <c r="C143" s="50">
        <f>D143/D140</f>
        <v>0.19</v>
      </c>
      <c r="D143" s="144">
        <f>D77</f>
        <v>308.32</v>
      </c>
    </row>
    <row r="144" spans="1:4" outlineLevel="2" x14ac:dyDescent="0.35">
      <c r="A144" s="670"/>
      <c r="B144" s="145" t="s">
        <v>231</v>
      </c>
      <c r="C144" s="50">
        <f>D144/D140</f>
        <v>3.73E-2</v>
      </c>
      <c r="D144" s="144">
        <f>D124</f>
        <v>60.56</v>
      </c>
    </row>
    <row r="145" spans="1:4" outlineLevel="2" x14ac:dyDescent="0.35">
      <c r="A145" s="671" t="s">
        <v>232</v>
      </c>
      <c r="B145" s="672"/>
      <c r="C145" s="94">
        <f>D145/D140</f>
        <v>1.8613</v>
      </c>
      <c r="D145" s="146">
        <f>SUM(D140:D144)</f>
        <v>3019.82</v>
      </c>
    </row>
    <row r="146" spans="1:4" outlineLevel="2" x14ac:dyDescent="0.35">
      <c r="A146" s="673"/>
      <c r="B146" s="673"/>
      <c r="C146" s="673"/>
      <c r="D146" s="674"/>
    </row>
    <row r="147" spans="1:4" outlineLevel="1" x14ac:dyDescent="0.35">
      <c r="A147" s="110" t="s">
        <v>233</v>
      </c>
      <c r="B147" s="117" t="s">
        <v>234</v>
      </c>
      <c r="C147" s="30" t="s">
        <v>44</v>
      </c>
      <c r="D147" s="110" t="s">
        <v>35</v>
      </c>
    </row>
    <row r="148" spans="1:4" outlineLevel="2" x14ac:dyDescent="0.35">
      <c r="A148" s="111" t="s">
        <v>16</v>
      </c>
      <c r="B148" s="31" t="s">
        <v>118</v>
      </c>
      <c r="C148" s="77">
        <f>5/252</f>
        <v>1.9800000000000002E-2</v>
      </c>
      <c r="D148" s="133">
        <f>C148*$D$145</f>
        <v>59.79</v>
      </c>
    </row>
    <row r="149" spans="1:4" outlineLevel="2" x14ac:dyDescent="0.35">
      <c r="A149" s="111" t="s">
        <v>17</v>
      </c>
      <c r="B149" s="31" t="s">
        <v>119</v>
      </c>
      <c r="C149" s="77">
        <f>1.383/252</f>
        <v>5.4999999999999997E-3</v>
      </c>
      <c r="D149" s="133">
        <f>C149*$D$145</f>
        <v>16.61</v>
      </c>
    </row>
    <row r="150" spans="1:4" outlineLevel="2" x14ac:dyDescent="0.35">
      <c r="A150" s="111" t="s">
        <v>19</v>
      </c>
      <c r="B150" s="31" t="s">
        <v>117</v>
      </c>
      <c r="C150" s="77">
        <f>1.3892/252</f>
        <v>5.4999999999999997E-3</v>
      </c>
      <c r="D150" s="133">
        <f t="shared" ref="D150:D153" si="1">C150*$D$145</f>
        <v>16.61</v>
      </c>
    </row>
    <row r="151" spans="1:4" outlineLevel="2" x14ac:dyDescent="0.35">
      <c r="A151" s="111" t="s">
        <v>22</v>
      </c>
      <c r="B151" s="31" t="s">
        <v>67</v>
      </c>
      <c r="C151" s="77">
        <f>0.65/252</f>
        <v>2.5999999999999999E-3</v>
      </c>
      <c r="D151" s="133">
        <f t="shared" si="1"/>
        <v>7.85</v>
      </c>
    </row>
    <row r="152" spans="1:4" outlineLevel="2" x14ac:dyDescent="0.35">
      <c r="A152" s="111" t="s">
        <v>24</v>
      </c>
      <c r="B152" s="31" t="s">
        <v>68</v>
      </c>
      <c r="C152" s="77">
        <f>0.5052/252</f>
        <v>2E-3</v>
      </c>
      <c r="D152" s="133">
        <f t="shared" si="1"/>
        <v>6.04</v>
      </c>
    </row>
    <row r="153" spans="1:4" outlineLevel="2" x14ac:dyDescent="0.35">
      <c r="A153" s="111" t="s">
        <v>36</v>
      </c>
      <c r="B153" s="61" t="s">
        <v>235</v>
      </c>
      <c r="C153" s="69">
        <f>0.2/252</f>
        <v>8.0000000000000004E-4</v>
      </c>
      <c r="D153" s="133">
        <f t="shared" si="1"/>
        <v>2.42</v>
      </c>
    </row>
    <row r="154" spans="1:4" outlineLevel="1" x14ac:dyDescent="0.35">
      <c r="A154" s="644" t="s">
        <v>226</v>
      </c>
      <c r="B154" s="645"/>
      <c r="C154" s="30">
        <f>SUM(C148:C153)</f>
        <v>3.6200000000000003E-2</v>
      </c>
      <c r="D154" s="116">
        <f>SUM(D148:D153)</f>
        <v>109.32</v>
      </c>
    </row>
    <row r="155" spans="1:4" outlineLevel="1" x14ac:dyDescent="0.35">
      <c r="A155" s="658"/>
      <c r="B155" s="659"/>
      <c r="C155" s="659"/>
      <c r="D155" s="660"/>
    </row>
    <row r="156" spans="1:4" outlineLevel="1" x14ac:dyDescent="0.35">
      <c r="A156" s="661" t="s">
        <v>236</v>
      </c>
      <c r="B156" s="666"/>
      <c r="C156" s="30" t="s">
        <v>237</v>
      </c>
      <c r="D156" s="110" t="s">
        <v>35</v>
      </c>
    </row>
    <row r="157" spans="1:4" outlineLevel="2" x14ac:dyDescent="0.4">
      <c r="A157" s="667" t="s">
        <v>238</v>
      </c>
      <c r="B157" s="142" t="s">
        <v>239</v>
      </c>
      <c r="C157" s="95">
        <f>C153</f>
        <v>8.0000000000000004E-4</v>
      </c>
      <c r="D157" s="147">
        <f>C157*-D140</f>
        <v>-1.3</v>
      </c>
    </row>
    <row r="158" spans="1:4" outlineLevel="2" x14ac:dyDescent="0.4">
      <c r="A158" s="667"/>
      <c r="B158" s="148" t="s">
        <v>240</v>
      </c>
      <c r="C158" s="96">
        <v>0</v>
      </c>
      <c r="D158" s="149">
        <f>C158*-(D140/220/24*5)</f>
        <v>0</v>
      </c>
    </row>
    <row r="159" spans="1:4" outlineLevel="2" x14ac:dyDescent="0.4">
      <c r="A159" s="667"/>
      <c r="B159" s="148" t="s">
        <v>241</v>
      </c>
      <c r="C159" s="96">
        <v>0</v>
      </c>
      <c r="D159" s="149">
        <f>C159*-D141</f>
        <v>0</v>
      </c>
    </row>
    <row r="160" spans="1:4" outlineLevel="2" x14ac:dyDescent="0.4">
      <c r="A160" s="667"/>
      <c r="B160" s="142" t="s">
        <v>242</v>
      </c>
      <c r="C160" s="95">
        <f>C154</f>
        <v>3.6200000000000003E-2</v>
      </c>
      <c r="D160" s="147">
        <f>C160*-D66</f>
        <v>0</v>
      </c>
    </row>
    <row r="161" spans="1:4" outlineLevel="2" x14ac:dyDescent="0.4">
      <c r="A161" s="667"/>
      <c r="B161" s="142" t="s">
        <v>243</v>
      </c>
      <c r="C161" s="95">
        <f>C154</f>
        <v>3.6200000000000003E-2</v>
      </c>
      <c r="D161" s="147">
        <f>C161*-D69</f>
        <v>-10.02</v>
      </c>
    </row>
    <row r="162" spans="1:4" outlineLevel="2" x14ac:dyDescent="0.4">
      <c r="A162" s="667"/>
      <c r="B162" s="145" t="s">
        <v>244</v>
      </c>
      <c r="C162" s="95">
        <f>C153</f>
        <v>8.0000000000000004E-4</v>
      </c>
      <c r="D162" s="147">
        <f>C162*-D74</f>
        <v>-0.02</v>
      </c>
    </row>
    <row r="163" spans="1:4" outlineLevel="2" x14ac:dyDescent="0.35">
      <c r="A163" s="667"/>
      <c r="B163" s="145" t="s">
        <v>245</v>
      </c>
      <c r="C163" s="97">
        <f>C152</f>
        <v>2E-3</v>
      </c>
      <c r="D163" s="133">
        <f>C163*-SUM(D55:D61)</f>
        <v>-1.03</v>
      </c>
    </row>
    <row r="164" spans="1:4" outlineLevel="2" x14ac:dyDescent="0.4">
      <c r="A164" s="667"/>
      <c r="B164" s="142" t="s">
        <v>246</v>
      </c>
      <c r="C164" s="95">
        <f>C153</f>
        <v>8.0000000000000004E-4</v>
      </c>
      <c r="D164" s="147">
        <f>C164*-D142</f>
        <v>-0.56999999999999995</v>
      </c>
    </row>
    <row r="165" spans="1:4" outlineLevel="1" x14ac:dyDescent="0.35">
      <c r="A165" s="644" t="s">
        <v>247</v>
      </c>
      <c r="B165" s="645"/>
      <c r="C165" s="30">
        <f>D165/D140</f>
        <v>-8.0000000000000002E-3</v>
      </c>
      <c r="D165" s="116">
        <f>SUM(D157:D164)</f>
        <v>-12.94</v>
      </c>
    </row>
    <row r="166" spans="1:4" outlineLevel="1" x14ac:dyDescent="0.35">
      <c r="A166" s="658"/>
      <c r="B166" s="659"/>
      <c r="C166" s="659"/>
      <c r="D166" s="660"/>
    </row>
    <row r="167" spans="1:4" outlineLevel="1" x14ac:dyDescent="0.35">
      <c r="A167" s="644" t="s">
        <v>248</v>
      </c>
      <c r="B167" s="645"/>
      <c r="C167" s="30">
        <f>D167/D140</f>
        <v>5.9400000000000001E-2</v>
      </c>
      <c r="D167" s="116">
        <f>D154+D165</f>
        <v>96.38</v>
      </c>
    </row>
    <row r="168" spans="1:4" outlineLevel="1" x14ac:dyDescent="0.35">
      <c r="A168" s="658"/>
      <c r="B168" s="659"/>
      <c r="C168" s="659"/>
      <c r="D168" s="660"/>
    </row>
    <row r="169" spans="1:4" outlineLevel="1" x14ac:dyDescent="0.35">
      <c r="A169" s="661" t="s">
        <v>249</v>
      </c>
      <c r="B169" s="662"/>
      <c r="C169" s="110" t="s">
        <v>44</v>
      </c>
      <c r="D169" s="110" t="s">
        <v>35</v>
      </c>
    </row>
    <row r="170" spans="1:4" outlineLevel="1" x14ac:dyDescent="0.35">
      <c r="A170" s="111" t="s">
        <v>65</v>
      </c>
      <c r="B170" s="31" t="s">
        <v>214</v>
      </c>
      <c r="C170" s="34"/>
      <c r="D170" s="150">
        <f>D138</f>
        <v>209.56</v>
      </c>
    </row>
    <row r="171" spans="1:4" outlineLevel="1" x14ac:dyDescent="0.35">
      <c r="A171" s="111" t="s">
        <v>233</v>
      </c>
      <c r="B171" s="31" t="s">
        <v>234</v>
      </c>
      <c r="C171" s="34"/>
      <c r="D171" s="150">
        <f>D167</f>
        <v>96.38</v>
      </c>
    </row>
    <row r="172" spans="1:4" x14ac:dyDescent="0.35">
      <c r="A172" s="644" t="s">
        <v>11</v>
      </c>
      <c r="B172" s="657"/>
      <c r="C172" s="645"/>
      <c r="D172" s="119">
        <f>SUM(D170:D171)</f>
        <v>305.94</v>
      </c>
    </row>
    <row r="173" spans="1:4" x14ac:dyDescent="0.35">
      <c r="A173" s="658"/>
      <c r="B173" s="659"/>
      <c r="C173" s="659"/>
      <c r="D173" s="660"/>
    </row>
    <row r="174" spans="1:4" x14ac:dyDescent="0.35">
      <c r="A174" s="663" t="s">
        <v>69</v>
      </c>
      <c r="B174" s="664"/>
      <c r="C174" s="664"/>
      <c r="D174" s="665"/>
    </row>
    <row r="175" spans="1:4" outlineLevel="1" x14ac:dyDescent="0.35">
      <c r="A175" s="658"/>
      <c r="B175" s="659"/>
      <c r="C175" s="659"/>
      <c r="D175" s="660"/>
    </row>
    <row r="176" spans="1:4" outlineLevel="1" x14ac:dyDescent="0.35">
      <c r="A176" s="64">
        <v>5</v>
      </c>
      <c r="B176" s="644" t="s">
        <v>250</v>
      </c>
      <c r="C176" s="645"/>
      <c r="D176" s="110" t="s">
        <v>35</v>
      </c>
    </row>
    <row r="177" spans="1:4" outlineLevel="1" x14ac:dyDescent="0.35">
      <c r="A177" s="111" t="s">
        <v>36</v>
      </c>
      <c r="B177" s="655" t="s">
        <v>343</v>
      </c>
      <c r="C177" s="656"/>
      <c r="D177" s="133">
        <f>INSUMOS!H12</f>
        <v>25.07</v>
      </c>
    </row>
    <row r="178" spans="1:4" outlineLevel="1" x14ac:dyDescent="0.35">
      <c r="A178" s="111" t="s">
        <v>16</v>
      </c>
      <c r="B178" s="655" t="s">
        <v>369</v>
      </c>
      <c r="C178" s="656"/>
      <c r="D178" s="151">
        <f>INSUMOS!H34</f>
        <v>29.12</v>
      </c>
    </row>
    <row r="179" spans="1:4" outlineLevel="1" x14ac:dyDescent="0.35">
      <c r="A179" s="111" t="s">
        <v>17</v>
      </c>
      <c r="B179" s="640" t="s">
        <v>326</v>
      </c>
      <c r="C179" s="642"/>
      <c r="D179" s="151">
        <f>MATERIAIS!K125</f>
        <v>277.89</v>
      </c>
    </row>
    <row r="180" spans="1:4" outlineLevel="1" x14ac:dyDescent="0.35">
      <c r="A180" s="111" t="s">
        <v>19</v>
      </c>
      <c r="B180" s="640" t="s">
        <v>325</v>
      </c>
      <c r="C180" s="642"/>
      <c r="D180" s="151">
        <f>EQUIPAMENTOS!L134</f>
        <v>24.75</v>
      </c>
    </row>
    <row r="181" spans="1:4" outlineLevel="1" x14ac:dyDescent="0.35">
      <c r="A181" s="111" t="s">
        <v>22</v>
      </c>
      <c r="B181" s="705" t="s">
        <v>39</v>
      </c>
      <c r="C181" s="706"/>
      <c r="D181" s="130">
        <v>0</v>
      </c>
    </row>
    <row r="182" spans="1:4" x14ac:dyDescent="0.35">
      <c r="A182" s="111" t="s">
        <v>24</v>
      </c>
      <c r="B182" s="705" t="s">
        <v>39</v>
      </c>
      <c r="C182" s="706"/>
      <c r="D182" s="130">
        <v>0</v>
      </c>
    </row>
    <row r="183" spans="1:4" x14ac:dyDescent="0.35">
      <c r="A183" s="644" t="s">
        <v>11</v>
      </c>
      <c r="B183" s="657"/>
      <c r="C183" s="645"/>
      <c r="D183" s="116">
        <f>SUM(D177:D181)</f>
        <v>356.83</v>
      </c>
    </row>
    <row r="184" spans="1:4" x14ac:dyDescent="0.35">
      <c r="A184" s="650"/>
      <c r="B184" s="650"/>
      <c r="C184" s="650"/>
      <c r="D184" s="650"/>
    </row>
    <row r="185" spans="1:4" x14ac:dyDescent="0.35">
      <c r="A185" s="649" t="s">
        <v>70</v>
      </c>
      <c r="B185" s="649"/>
      <c r="C185" s="649"/>
      <c r="D185" s="152">
        <f>D39+D83+D126+D172+D182</f>
        <v>3188.28</v>
      </c>
    </row>
    <row r="186" spans="1:4" x14ac:dyDescent="0.35">
      <c r="A186" s="650"/>
      <c r="B186" s="650"/>
      <c r="C186" s="650"/>
      <c r="D186" s="650"/>
    </row>
    <row r="187" spans="1:4" x14ac:dyDescent="0.35">
      <c r="A187" s="651" t="s">
        <v>71</v>
      </c>
      <c r="B187" s="651"/>
      <c r="C187" s="651"/>
      <c r="D187" s="651"/>
    </row>
    <row r="188" spans="1:4" outlineLevel="1" x14ac:dyDescent="0.35">
      <c r="A188" s="652"/>
      <c r="B188" s="653"/>
      <c r="C188" s="653"/>
      <c r="D188" s="654"/>
    </row>
    <row r="189" spans="1:4" outlineLevel="1" x14ac:dyDescent="0.35">
      <c r="A189" s="64">
        <v>6</v>
      </c>
      <c r="B189" s="117" t="s">
        <v>72</v>
      </c>
      <c r="C189" s="110" t="s">
        <v>44</v>
      </c>
      <c r="D189" s="110" t="s">
        <v>35</v>
      </c>
    </row>
    <row r="190" spans="1:4" outlineLevel="1" x14ac:dyDescent="0.35">
      <c r="A190" s="111" t="s">
        <v>36</v>
      </c>
      <c r="B190" s="31" t="s">
        <v>73</v>
      </c>
      <c r="C190" s="70">
        <f>'SR - ASG int'!C189</f>
        <v>2.6499999999999999E-2</v>
      </c>
      <c r="D190" s="105">
        <f>C190*D185</f>
        <v>84.49</v>
      </c>
    </row>
    <row r="191" spans="1:4" outlineLevel="1" x14ac:dyDescent="0.35">
      <c r="A191" s="638" t="s">
        <v>1</v>
      </c>
      <c r="B191" s="639"/>
      <c r="C191" s="643"/>
      <c r="D191" s="105">
        <f>D185+D190</f>
        <v>3272.77</v>
      </c>
    </row>
    <row r="192" spans="1:4" outlineLevel="1" x14ac:dyDescent="0.35">
      <c r="A192" s="111" t="s">
        <v>16</v>
      </c>
      <c r="B192" s="31" t="s">
        <v>74</v>
      </c>
      <c r="C192" s="70">
        <f>'SR - ASG int'!C191</f>
        <v>0.1087</v>
      </c>
      <c r="D192" s="105">
        <f>C192*D191</f>
        <v>355.75</v>
      </c>
    </row>
    <row r="193" spans="1:4" outlineLevel="1" x14ac:dyDescent="0.35">
      <c r="A193" s="638" t="s">
        <v>1</v>
      </c>
      <c r="B193" s="639"/>
      <c r="C193" s="639"/>
      <c r="D193" s="105">
        <f>D192+D191</f>
        <v>3628.52</v>
      </c>
    </row>
    <row r="194" spans="1:4" outlineLevel="1" x14ac:dyDescent="0.35">
      <c r="A194" s="111" t="s">
        <v>17</v>
      </c>
      <c r="B194" s="640" t="s">
        <v>75</v>
      </c>
      <c r="C194" s="641"/>
      <c r="D194" s="642"/>
    </row>
    <row r="195" spans="1:4" outlineLevel="1" x14ac:dyDescent="0.35">
      <c r="A195" s="153"/>
      <c r="B195" s="63" t="s">
        <v>76</v>
      </c>
      <c r="C195" s="70">
        <v>6.4999999999999997E-3</v>
      </c>
      <c r="D195" s="105">
        <f>(D193/(1-C198)*C195)</f>
        <v>25.27</v>
      </c>
    </row>
    <row r="196" spans="1:4" outlineLevel="1" x14ac:dyDescent="0.35">
      <c r="A196" s="153"/>
      <c r="B196" s="63" t="s">
        <v>77</v>
      </c>
      <c r="C196" s="70">
        <v>0.03</v>
      </c>
      <c r="D196" s="105">
        <f>(D193/(1-C198)*C196)</f>
        <v>116.61</v>
      </c>
    </row>
    <row r="197" spans="1:4" outlineLevel="1" x14ac:dyDescent="0.35">
      <c r="A197" s="153"/>
      <c r="B197" s="63" t="s">
        <v>298</v>
      </c>
      <c r="C197" s="51">
        <v>0.03</v>
      </c>
      <c r="D197" s="105">
        <f>(D193/(1-C198)*C197)</f>
        <v>116.61</v>
      </c>
    </row>
    <row r="198" spans="1:4" outlineLevel="1" x14ac:dyDescent="0.35">
      <c r="A198" s="638" t="s">
        <v>78</v>
      </c>
      <c r="B198" s="643"/>
      <c r="C198" s="52">
        <f>SUM(C195:C197)</f>
        <v>6.6500000000000004E-2</v>
      </c>
      <c r="D198" s="105">
        <f>SUM(D195:D197)</f>
        <v>258.49</v>
      </c>
    </row>
    <row r="199" spans="1:4" x14ac:dyDescent="0.35">
      <c r="A199" s="644" t="s">
        <v>11</v>
      </c>
      <c r="B199" s="645"/>
      <c r="C199" s="53">
        <f>(1+C190)*(1+C192)*(1/(1-C198))-1</f>
        <v>0.21920000000000001</v>
      </c>
      <c r="D199" s="108">
        <f>SUM(D198+D190+D192)</f>
        <v>698.73</v>
      </c>
    </row>
    <row r="200" spans="1:4" x14ac:dyDescent="0.35">
      <c r="A200" s="646"/>
      <c r="B200" s="647"/>
      <c r="C200" s="647"/>
      <c r="D200" s="648"/>
    </row>
    <row r="201" spans="1:4" x14ac:dyDescent="0.35">
      <c r="A201" s="634" t="s">
        <v>79</v>
      </c>
      <c r="B201" s="635"/>
      <c r="C201" s="636"/>
      <c r="D201" s="54" t="s">
        <v>35</v>
      </c>
    </row>
    <row r="202" spans="1:4" x14ac:dyDescent="0.35">
      <c r="A202" s="632" t="s">
        <v>80</v>
      </c>
      <c r="B202" s="637"/>
      <c r="C202" s="637"/>
      <c r="D202" s="633"/>
    </row>
    <row r="203" spans="1:4" x14ac:dyDescent="0.35">
      <c r="A203" s="65" t="s">
        <v>36</v>
      </c>
      <c r="B203" s="632" t="s">
        <v>81</v>
      </c>
      <c r="C203" s="633"/>
      <c r="D203" s="104">
        <f>D39</f>
        <v>1622.42</v>
      </c>
    </row>
    <row r="204" spans="1:4" x14ac:dyDescent="0.35">
      <c r="A204" s="65" t="s">
        <v>16</v>
      </c>
      <c r="B204" s="632" t="s">
        <v>82</v>
      </c>
      <c r="C204" s="633"/>
      <c r="D204" s="104">
        <f>D83</f>
        <v>1127.32</v>
      </c>
    </row>
    <row r="205" spans="1:4" x14ac:dyDescent="0.35">
      <c r="A205" s="65" t="s">
        <v>17</v>
      </c>
      <c r="B205" s="632" t="s">
        <v>83</v>
      </c>
      <c r="C205" s="633"/>
      <c r="D205" s="104">
        <f>D126</f>
        <v>132.6</v>
      </c>
    </row>
    <row r="206" spans="1:4" x14ac:dyDescent="0.35">
      <c r="A206" s="65" t="s">
        <v>19</v>
      </c>
      <c r="B206" s="632" t="s">
        <v>84</v>
      </c>
      <c r="C206" s="633"/>
      <c r="D206" s="104">
        <f>D172</f>
        <v>305.94</v>
      </c>
    </row>
    <row r="207" spans="1:4" x14ac:dyDescent="0.35">
      <c r="A207" s="65" t="s">
        <v>22</v>
      </c>
      <c r="B207" s="632" t="s">
        <v>85</v>
      </c>
      <c r="C207" s="633"/>
      <c r="D207" s="104">
        <f>D182</f>
        <v>0</v>
      </c>
    </row>
    <row r="208" spans="1:4" x14ac:dyDescent="0.4">
      <c r="A208" s="629" t="s">
        <v>86</v>
      </c>
      <c r="B208" s="630"/>
      <c r="C208" s="631"/>
      <c r="D208" s="104">
        <f>SUM(D203:D207)</f>
        <v>3188.28</v>
      </c>
    </row>
    <row r="209" spans="1:4" x14ac:dyDescent="0.35">
      <c r="A209" s="65" t="s">
        <v>87</v>
      </c>
      <c r="B209" s="632" t="s">
        <v>88</v>
      </c>
      <c r="C209" s="633"/>
      <c r="D209" s="104">
        <f>D199</f>
        <v>698.73</v>
      </c>
    </row>
    <row r="210" spans="1:4" x14ac:dyDescent="0.35">
      <c r="A210" s="634" t="s">
        <v>89</v>
      </c>
      <c r="B210" s="635"/>
      <c r="C210" s="636"/>
      <c r="D210" s="154">
        <f xml:space="preserve"> D208+D209</f>
        <v>3887.01</v>
      </c>
    </row>
    <row r="211" spans="1:4" x14ac:dyDescent="0.4">
      <c r="A211" s="24"/>
      <c r="B211" s="24"/>
      <c r="C211" s="24"/>
      <c r="D211" s="24"/>
    </row>
    <row r="212" spans="1:4" thickBot="1" x14ac:dyDescent="0.4">
      <c r="A212" s="17"/>
      <c r="B212" s="17"/>
      <c r="C212" s="17"/>
      <c r="D212" s="17"/>
    </row>
    <row r="213" spans="1:4" x14ac:dyDescent="0.35">
      <c r="A213" s="702" t="s">
        <v>274</v>
      </c>
      <c r="B213" s="703"/>
      <c r="C213" s="703"/>
      <c r="D213" s="704"/>
    </row>
    <row r="214" spans="1:4" ht="30" x14ac:dyDescent="0.35">
      <c r="A214" s="170" t="s">
        <v>275</v>
      </c>
      <c r="B214" s="171" t="s">
        <v>278</v>
      </c>
      <c r="C214" s="172" t="s">
        <v>276</v>
      </c>
      <c r="D214" s="173" t="s">
        <v>277</v>
      </c>
    </row>
    <row r="215" spans="1:4" ht="15.5" thickBot="1" x14ac:dyDescent="0.4">
      <c r="A215" s="174">
        <v>1</v>
      </c>
      <c r="B215" s="178">
        <f>1/(C11/A215)</f>
        <v>1.7123141070000001E-4</v>
      </c>
      <c r="C215" s="175">
        <f>D210</f>
        <v>3887.01</v>
      </c>
      <c r="D215" s="181">
        <f>C215*B215</f>
        <v>0.66557820599999995</v>
      </c>
    </row>
  </sheetData>
  <mergeCells count="108">
    <mergeCell ref="B206:C206"/>
    <mergeCell ref="B207:C207"/>
    <mergeCell ref="A208:C208"/>
    <mergeCell ref="B209:C209"/>
    <mergeCell ref="A210:C210"/>
    <mergeCell ref="A213:D213"/>
    <mergeCell ref="A200:D200"/>
    <mergeCell ref="A201:C201"/>
    <mergeCell ref="A202:D202"/>
    <mergeCell ref="B203:C203"/>
    <mergeCell ref="B204:C204"/>
    <mergeCell ref="B205:C205"/>
    <mergeCell ref="A188:D188"/>
    <mergeCell ref="A191:C191"/>
    <mergeCell ref="A193:C193"/>
    <mergeCell ref="B194:D194"/>
    <mergeCell ref="A198:B198"/>
    <mergeCell ref="A199:B199"/>
    <mergeCell ref="B182:C182"/>
    <mergeCell ref="A183:C183"/>
    <mergeCell ref="A184:D184"/>
    <mergeCell ref="A185:C185"/>
    <mergeCell ref="A186:D186"/>
    <mergeCell ref="A187:D187"/>
    <mergeCell ref="B176:C176"/>
    <mergeCell ref="B177:C177"/>
    <mergeCell ref="B178:C178"/>
    <mergeCell ref="B179:C179"/>
    <mergeCell ref="B180:C180"/>
    <mergeCell ref="B181:C181"/>
    <mergeCell ref="A168:D168"/>
    <mergeCell ref="A169:B169"/>
    <mergeCell ref="A172:C172"/>
    <mergeCell ref="A173:D173"/>
    <mergeCell ref="A174:D174"/>
    <mergeCell ref="A175:D175"/>
    <mergeCell ref="A155:D155"/>
    <mergeCell ref="A156:B156"/>
    <mergeCell ref="A157:A164"/>
    <mergeCell ref="A165:B165"/>
    <mergeCell ref="A166:D166"/>
    <mergeCell ref="A167:B167"/>
    <mergeCell ref="A138:B138"/>
    <mergeCell ref="A139:D139"/>
    <mergeCell ref="A140:A144"/>
    <mergeCell ref="A145:B145"/>
    <mergeCell ref="A146:D146"/>
    <mergeCell ref="A154:B154"/>
    <mergeCell ref="A123:B123"/>
    <mergeCell ref="A124:B124"/>
    <mergeCell ref="A126:B126"/>
    <mergeCell ref="A127:D127"/>
    <mergeCell ref="A128:D128"/>
    <mergeCell ref="A129:D129"/>
    <mergeCell ref="A112:D112"/>
    <mergeCell ref="A116:B116"/>
    <mergeCell ref="A117:D117"/>
    <mergeCell ref="A118:B118"/>
    <mergeCell ref="A121:C121"/>
    <mergeCell ref="A122:B122"/>
    <mergeCell ref="A84:D84"/>
    <mergeCell ref="A85:D85"/>
    <mergeCell ref="A86:D86"/>
    <mergeCell ref="A99:B99"/>
    <mergeCell ref="A100:D100"/>
    <mergeCell ref="A111:B111"/>
    <mergeCell ref="A63:B63"/>
    <mergeCell ref="A64:D64"/>
    <mergeCell ref="A77:C77"/>
    <mergeCell ref="A78:D78"/>
    <mergeCell ref="A79:B79"/>
    <mergeCell ref="A83:C83"/>
    <mergeCell ref="A45:B45"/>
    <mergeCell ref="A46:D46"/>
    <mergeCell ref="A47:D47"/>
    <mergeCell ref="A48:D48"/>
    <mergeCell ref="A52:B52"/>
    <mergeCell ref="A53:D53"/>
    <mergeCell ref="A23:D23"/>
    <mergeCell ref="A24:D24"/>
    <mergeCell ref="A25:D25"/>
    <mergeCell ref="B26:C26"/>
    <mergeCell ref="A39:C39"/>
    <mergeCell ref="A40:D40"/>
    <mergeCell ref="C17:D17"/>
    <mergeCell ref="A18:D18"/>
    <mergeCell ref="B19:C19"/>
    <mergeCell ref="B20:C20"/>
    <mergeCell ref="B21:C21"/>
    <mergeCell ref="B22:C22"/>
    <mergeCell ref="C11:D11"/>
    <mergeCell ref="C12:D12"/>
    <mergeCell ref="A13:D13"/>
    <mergeCell ref="A14:D14"/>
    <mergeCell ref="A15:D15"/>
    <mergeCell ref="C16:D16"/>
    <mergeCell ref="A5:D5"/>
    <mergeCell ref="C6:D6"/>
    <mergeCell ref="C7:D7"/>
    <mergeCell ref="C8:D8"/>
    <mergeCell ref="C9:D9"/>
    <mergeCell ref="C10:D10"/>
    <mergeCell ref="A1:D1"/>
    <mergeCell ref="A2:B2"/>
    <mergeCell ref="C2:D2"/>
    <mergeCell ref="A3:B3"/>
    <mergeCell ref="C3:D3"/>
    <mergeCell ref="A4:D4"/>
  </mergeCells>
  <pageMargins left="0.51181102362204722" right="0.51181102362204722" top="0.78740157480314965" bottom="0.78740157480314965" header="0.31496062992125984" footer="0.31496062992125984"/>
  <pageSetup scale="21" orientation="portrait" horizontalDpi="30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5E3064-1A6E-4926-9A92-15441495ED65}">
  <dimension ref="A1:L14"/>
  <sheetViews>
    <sheetView workbookViewId="0">
      <selection activeCell="E14" sqref="E14"/>
    </sheetView>
  </sheetViews>
  <sheetFormatPr defaultColWidth="8.7265625" defaultRowHeight="14.5" x14ac:dyDescent="0.35"/>
  <cols>
    <col min="1" max="1" width="14.1796875" style="246" bestFit="1" customWidth="1"/>
    <col min="2" max="2" width="8.81640625" style="246" bestFit="1" customWidth="1"/>
    <col min="3" max="3" width="8.54296875" style="246" bestFit="1" customWidth="1"/>
    <col min="4" max="4" width="23.81640625" style="246" bestFit="1" customWidth="1"/>
    <col min="5" max="5" width="7.54296875" style="246" bestFit="1" customWidth="1"/>
    <col min="6" max="6" width="3.81640625" style="246" bestFit="1" customWidth="1"/>
    <col min="7" max="7" width="3.453125" style="246" bestFit="1" customWidth="1"/>
    <col min="8" max="9" width="3.81640625" style="246" bestFit="1" customWidth="1"/>
    <col min="10" max="10" width="2.81640625" style="246" bestFit="1" customWidth="1"/>
    <col min="11" max="11" width="13.26953125" style="246" bestFit="1" customWidth="1"/>
    <col min="12" max="12" width="10.81640625" style="246" bestFit="1" customWidth="1"/>
    <col min="13" max="16384" width="8.7265625" style="246"/>
  </cols>
  <sheetData>
    <row r="1" spans="1:12" x14ac:dyDescent="0.35">
      <c r="A1" s="240"/>
      <c r="B1" s="241"/>
      <c r="C1" s="241"/>
      <c r="D1" s="242"/>
      <c r="E1" s="243" t="s">
        <v>528</v>
      </c>
      <c r="F1" s="244"/>
      <c r="G1" s="244"/>
      <c r="H1" s="244"/>
      <c r="I1" s="244"/>
      <c r="J1" s="245"/>
      <c r="K1" s="243" t="s">
        <v>529</v>
      </c>
      <c r="L1" s="245"/>
    </row>
    <row r="2" spans="1:12" ht="15" thickBot="1" x14ac:dyDescent="0.4">
      <c r="A2" s="247"/>
      <c r="B2" s="248"/>
      <c r="C2" s="248"/>
      <c r="D2" s="249" t="s">
        <v>530</v>
      </c>
      <c r="E2" s="250"/>
      <c r="F2" s="251"/>
      <c r="G2" s="251"/>
      <c r="H2" s="251"/>
      <c r="I2" s="251"/>
      <c r="J2" s="252"/>
      <c r="K2" s="250"/>
      <c r="L2" s="252"/>
    </row>
    <row r="3" spans="1:12" x14ac:dyDescent="0.35">
      <c r="A3" s="253" t="s">
        <v>531</v>
      </c>
      <c r="B3" s="254"/>
      <c r="C3" s="255" t="s">
        <v>532</v>
      </c>
      <c r="D3" s="249" t="s">
        <v>533</v>
      </c>
      <c r="E3" s="248"/>
      <c r="F3" s="248"/>
      <c r="G3" s="248"/>
      <c r="H3" s="248"/>
      <c r="I3" s="248"/>
      <c r="J3" s="248"/>
      <c r="K3" s="256" t="s">
        <v>534</v>
      </c>
      <c r="L3" s="248"/>
    </row>
    <row r="4" spans="1:12" ht="15" thickBot="1" x14ac:dyDescent="0.4">
      <c r="A4" s="257"/>
      <c r="B4" s="258"/>
      <c r="C4" s="258"/>
      <c r="D4" s="258"/>
      <c r="E4" s="259" t="s">
        <v>125</v>
      </c>
      <c r="F4" s="260" t="s">
        <v>506</v>
      </c>
      <c r="G4" s="260" t="s">
        <v>508</v>
      </c>
      <c r="H4" s="260" t="s">
        <v>507</v>
      </c>
      <c r="I4" s="260" t="s">
        <v>509</v>
      </c>
      <c r="J4" s="260" t="s">
        <v>535</v>
      </c>
      <c r="K4" s="261"/>
      <c r="L4" s="259" t="s">
        <v>536</v>
      </c>
    </row>
    <row r="5" spans="1:12" ht="15" thickBot="1" x14ac:dyDescent="0.4">
      <c r="A5" s="262" t="s">
        <v>537</v>
      </c>
      <c r="B5" s="259" t="s">
        <v>538</v>
      </c>
      <c r="C5" s="263">
        <v>4053.49</v>
      </c>
      <c r="D5" s="264">
        <v>3865.6</v>
      </c>
      <c r="E5" s="265">
        <v>7</v>
      </c>
      <c r="F5" s="266"/>
      <c r="G5" s="266"/>
      <c r="H5" s="267">
        <v>2</v>
      </c>
      <c r="I5" s="268">
        <v>1</v>
      </c>
      <c r="J5" s="268">
        <v>1</v>
      </c>
      <c r="K5" s="264">
        <v>38656.050000000003</v>
      </c>
      <c r="L5" s="264">
        <v>463872.58</v>
      </c>
    </row>
    <row r="6" spans="1:12" x14ac:dyDescent="0.35">
      <c r="A6" s="269" t="s">
        <v>539</v>
      </c>
      <c r="B6" s="255"/>
      <c r="C6" s="255"/>
      <c r="D6" s="255"/>
      <c r="E6" s="255"/>
      <c r="F6" s="255"/>
      <c r="G6" s="255"/>
      <c r="H6" s="270"/>
      <c r="I6" s="270"/>
      <c r="J6" s="270"/>
      <c r="K6" s="255"/>
      <c r="L6" s="255"/>
    </row>
    <row r="7" spans="1:12" x14ac:dyDescent="0.35">
      <c r="A7" s="271" t="s">
        <v>540</v>
      </c>
      <c r="B7" s="272"/>
      <c r="C7" s="272"/>
      <c r="D7" s="272"/>
      <c r="E7" s="272"/>
      <c r="F7" s="272"/>
      <c r="G7" s="272"/>
      <c r="H7" s="273"/>
      <c r="I7" s="273"/>
      <c r="J7" s="273"/>
      <c r="K7" s="255"/>
      <c r="L7" s="255"/>
    </row>
    <row r="8" spans="1:12" ht="15" thickBot="1" x14ac:dyDescent="0.4">
      <c r="A8" s="274" t="s">
        <v>541</v>
      </c>
      <c r="B8" s="275">
        <v>3924.78</v>
      </c>
      <c r="C8" s="276">
        <v>4665.25</v>
      </c>
      <c r="D8" s="277" t="s">
        <v>542</v>
      </c>
      <c r="E8" s="278">
        <v>1</v>
      </c>
      <c r="F8" s="279">
        <v>1</v>
      </c>
      <c r="G8" s="280">
        <v>1</v>
      </c>
      <c r="H8" s="281"/>
      <c r="I8" s="281"/>
      <c r="J8" s="281"/>
      <c r="K8" s="275">
        <v>17180.05</v>
      </c>
      <c r="L8" s="275">
        <v>206160.62</v>
      </c>
    </row>
    <row r="9" spans="1:12" x14ac:dyDescent="0.35">
      <c r="A9" s="269" t="s">
        <v>539</v>
      </c>
      <c r="B9" s="255"/>
      <c r="C9" s="255"/>
      <c r="D9" s="255"/>
      <c r="E9" s="255"/>
      <c r="F9" s="255"/>
      <c r="G9" s="255"/>
      <c r="H9" s="255"/>
      <c r="I9" s="255"/>
      <c r="J9" s="255"/>
      <c r="K9" s="255"/>
      <c r="L9" s="255"/>
    </row>
    <row r="10" spans="1:12" x14ac:dyDescent="0.35">
      <c r="A10" s="282" t="s">
        <v>543</v>
      </c>
      <c r="B10" s="283"/>
      <c r="C10" s="283"/>
      <c r="D10" s="283"/>
      <c r="E10" s="283"/>
      <c r="F10" s="283"/>
      <c r="G10" s="283"/>
      <c r="H10" s="283"/>
      <c r="I10" s="283"/>
      <c r="J10" s="283"/>
      <c r="K10" s="283"/>
      <c r="L10" s="283"/>
    </row>
    <row r="11" spans="1:12" ht="15" thickBot="1" x14ac:dyDescent="0.4">
      <c r="A11" s="274" t="s">
        <v>544</v>
      </c>
      <c r="B11" s="277" t="s">
        <v>545</v>
      </c>
      <c r="C11" s="276">
        <v>4229.49</v>
      </c>
      <c r="D11" s="275">
        <v>3971.15</v>
      </c>
      <c r="E11" s="277">
        <v>1</v>
      </c>
      <c r="F11" s="284">
        <v>1</v>
      </c>
      <c r="G11" s="285">
        <v>1</v>
      </c>
      <c r="H11" s="286">
        <v>1</v>
      </c>
      <c r="I11" s="287">
        <v>1</v>
      </c>
      <c r="J11" s="284">
        <v>1</v>
      </c>
      <c r="K11" s="275">
        <v>23826.880000000001</v>
      </c>
      <c r="L11" s="275">
        <v>285922.52</v>
      </c>
    </row>
    <row r="12" spans="1:12" x14ac:dyDescent="0.35">
      <c r="A12" s="269" t="s">
        <v>546</v>
      </c>
      <c r="B12" s="255"/>
      <c r="C12" s="255"/>
      <c r="D12" s="255"/>
      <c r="E12" s="255"/>
      <c r="F12" s="270"/>
      <c r="G12" s="270"/>
      <c r="H12" s="255"/>
      <c r="I12" s="270"/>
      <c r="J12" s="270"/>
      <c r="K12" s="255"/>
      <c r="L12" s="255"/>
    </row>
    <row r="13" spans="1:12" x14ac:dyDescent="0.35">
      <c r="A13" s="288" t="s">
        <v>547</v>
      </c>
      <c r="B13" s="272"/>
      <c r="C13" s="272"/>
      <c r="D13" s="272"/>
      <c r="E13" s="272"/>
      <c r="F13" s="273"/>
      <c r="G13" s="273"/>
      <c r="H13" s="272"/>
      <c r="I13" s="273"/>
      <c r="J13" s="273"/>
      <c r="K13" s="272"/>
      <c r="L13" s="272"/>
    </row>
    <row r="14" spans="1:12" ht="15" thickBot="1" x14ac:dyDescent="0.4">
      <c r="A14" s="289" t="s">
        <v>548</v>
      </c>
      <c r="B14" s="290">
        <v>3818.73</v>
      </c>
      <c r="C14" s="291">
        <v>4420.54</v>
      </c>
      <c r="D14" s="290">
        <v>4119.63</v>
      </c>
      <c r="E14" s="292">
        <v>2</v>
      </c>
      <c r="F14" s="281"/>
      <c r="G14" s="281"/>
      <c r="H14" s="293">
        <v>2</v>
      </c>
      <c r="I14" s="281">
        <v>1</v>
      </c>
      <c r="J14" s="281">
        <v>1</v>
      </c>
      <c r="K14" s="290">
        <v>24717.81</v>
      </c>
      <c r="L14" s="290">
        <v>296613.7</v>
      </c>
    </row>
  </sheetData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D5A434-E97B-44B4-BA5B-9938228509D7}">
  <sheetPr codeName="Planilha3">
    <tabColor rgb="FF00B0F0"/>
    <pageSetUpPr fitToPage="1"/>
  </sheetPr>
  <dimension ref="A1:N26"/>
  <sheetViews>
    <sheetView tabSelected="1" view="pageBreakPreview" topLeftCell="B3" zoomScale="90" zoomScaleNormal="100" zoomScaleSheetLayoutView="90" workbookViewId="0">
      <selection activeCell="J22" sqref="J22"/>
    </sheetView>
  </sheetViews>
  <sheetFormatPr defaultColWidth="9.1796875" defaultRowHeight="14.5" x14ac:dyDescent="0.35"/>
  <cols>
    <col min="1" max="1" width="3.1796875" customWidth="1"/>
    <col min="2" max="2" width="5.453125" bestFit="1" customWidth="1"/>
    <col min="3" max="3" width="44.453125" customWidth="1"/>
    <col min="4" max="4" width="36.81640625" bestFit="1" customWidth="1"/>
    <col min="5" max="5" width="19.81640625" customWidth="1"/>
    <col min="6" max="7" width="13.54296875" customWidth="1"/>
    <col min="8" max="8" width="16.54296875" customWidth="1"/>
    <col min="9" max="9" width="12.81640625" customWidth="1"/>
    <col min="10" max="10" width="18.26953125" customWidth="1"/>
    <col min="11" max="11" width="4.1796875" customWidth="1"/>
    <col min="13" max="13" width="12.1796875" customWidth="1"/>
    <col min="14" max="14" width="12.1796875" bestFit="1" customWidth="1"/>
    <col min="16384" max="16384" width="3.1796875" customWidth="1"/>
  </cols>
  <sheetData>
    <row r="1" spans="1:14" ht="14.25" customHeight="1" thickBot="1" x14ac:dyDescent="0.4">
      <c r="A1" s="18"/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4" ht="20.5" x14ac:dyDescent="0.35">
      <c r="A2" s="18"/>
      <c r="B2" s="428" t="s">
        <v>135</v>
      </c>
      <c r="C2" s="429"/>
      <c r="D2" s="429"/>
      <c r="E2" s="429"/>
      <c r="F2" s="429"/>
      <c r="G2" s="429"/>
      <c r="H2" s="429"/>
      <c r="I2" s="429"/>
      <c r="J2" s="430"/>
      <c r="K2" s="18"/>
    </row>
    <row r="3" spans="1:14" ht="18" thickBot="1" x14ac:dyDescent="0.4">
      <c r="A3" s="18"/>
      <c r="B3" s="431" t="s">
        <v>136</v>
      </c>
      <c r="C3" s="432"/>
      <c r="D3" s="432"/>
      <c r="E3" s="432"/>
      <c r="F3" s="432"/>
      <c r="G3" s="432"/>
      <c r="H3" s="432"/>
      <c r="I3" s="432"/>
      <c r="J3" s="433"/>
      <c r="K3" s="18"/>
    </row>
    <row r="4" spans="1:14" ht="30.5" thickBot="1" x14ac:dyDescent="0.4">
      <c r="A4" s="18"/>
      <c r="B4" s="19" t="s">
        <v>137</v>
      </c>
      <c r="C4" s="62" t="s">
        <v>138</v>
      </c>
      <c r="D4" s="62" t="s">
        <v>139</v>
      </c>
      <c r="E4" s="19" t="s">
        <v>140</v>
      </c>
      <c r="F4" s="19" t="s">
        <v>273</v>
      </c>
      <c r="G4" s="19" t="s">
        <v>285</v>
      </c>
      <c r="H4" s="19" t="s">
        <v>141</v>
      </c>
      <c r="I4" s="19" t="s">
        <v>142</v>
      </c>
      <c r="J4" s="19" t="s">
        <v>143</v>
      </c>
      <c r="K4" s="18"/>
      <c r="N4" s="184"/>
    </row>
    <row r="5" spans="1:14" ht="16" thickBot="1" x14ac:dyDescent="0.4">
      <c r="A5" s="18"/>
      <c r="B5" s="20">
        <v>1</v>
      </c>
      <c r="C5" s="183" t="s">
        <v>522</v>
      </c>
      <c r="D5" s="434" t="s">
        <v>511</v>
      </c>
      <c r="E5" s="180">
        <f>'SR - ASG int'!D214+'SR - ASG GRAT COP'!D214+'SR - Encarregado'!D214</f>
        <v>4.0841099999999999</v>
      </c>
      <c r="F5" s="176">
        <v>6422.3</v>
      </c>
      <c r="G5" s="182" t="s">
        <v>284</v>
      </c>
      <c r="H5" s="21">
        <f>F5*E5</f>
        <v>26229.38</v>
      </c>
      <c r="I5" s="446">
        <v>20</v>
      </c>
      <c r="J5" s="21">
        <f>I5*H5</f>
        <v>524587.6</v>
      </c>
      <c r="K5" s="230">
        <v>15</v>
      </c>
      <c r="M5" s="185"/>
      <c r="N5" s="7"/>
    </row>
    <row r="6" spans="1:14" ht="16" thickBot="1" x14ac:dyDescent="0.4">
      <c r="A6" s="18"/>
      <c r="B6" s="20">
        <v>2</v>
      </c>
      <c r="C6" s="183" t="s">
        <v>280</v>
      </c>
      <c r="D6" s="435"/>
      <c r="E6" s="180">
        <f>'SR - ASG ext'!D215</f>
        <v>0.62509599999999998</v>
      </c>
      <c r="F6" s="176">
        <v>15951.88</v>
      </c>
      <c r="G6" s="182" t="s">
        <v>284</v>
      </c>
      <c r="H6" s="21">
        <f>F6*E6</f>
        <v>9971.4599999999991</v>
      </c>
      <c r="I6" s="447"/>
      <c r="J6" s="21">
        <f>I5*H6</f>
        <v>199429.2</v>
      </c>
      <c r="K6" s="230">
        <v>0</v>
      </c>
      <c r="M6" s="184"/>
    </row>
    <row r="7" spans="1:14" ht="16" thickBot="1" x14ac:dyDescent="0.4">
      <c r="A7" s="18"/>
      <c r="B7" s="20">
        <v>3</v>
      </c>
      <c r="C7" s="183" t="s">
        <v>282</v>
      </c>
      <c r="D7" s="435"/>
      <c r="E7" s="57">
        <f>'SR - Copeira'!D210</f>
        <v>4271.18</v>
      </c>
      <c r="F7" s="60">
        <v>1</v>
      </c>
      <c r="G7" s="182" t="s">
        <v>145</v>
      </c>
      <c r="H7" s="21">
        <f t="shared" ref="H7:H18" si="0">F7*E7</f>
        <v>4271.18</v>
      </c>
      <c r="I7" s="447"/>
      <c r="J7" s="21">
        <f>I5*H7</f>
        <v>85423.6</v>
      </c>
      <c r="K7" s="23"/>
      <c r="M7" s="184"/>
    </row>
    <row r="8" spans="1:14" ht="16" thickBot="1" x14ac:dyDescent="0.4">
      <c r="A8" s="18"/>
      <c r="B8" s="20">
        <v>4</v>
      </c>
      <c r="C8" s="183" t="s">
        <v>283</v>
      </c>
      <c r="D8" s="435"/>
      <c r="E8" s="57">
        <f>'SR - Lavador'!D210</f>
        <v>3990.18</v>
      </c>
      <c r="F8" s="60">
        <v>2</v>
      </c>
      <c r="G8" s="182" t="s">
        <v>145</v>
      </c>
      <c r="H8" s="21">
        <f t="shared" si="0"/>
        <v>7980.36</v>
      </c>
      <c r="I8" s="447"/>
      <c r="J8" s="21">
        <f>I5*H8</f>
        <v>159607.20000000001</v>
      </c>
      <c r="K8" s="23"/>
      <c r="M8" s="184"/>
    </row>
    <row r="9" spans="1:14" ht="16" thickBot="1" x14ac:dyDescent="0.4">
      <c r="A9" s="18"/>
      <c r="B9" s="233">
        <v>5</v>
      </c>
      <c r="C9" s="234" t="s">
        <v>279</v>
      </c>
      <c r="D9" s="439" t="s">
        <v>512</v>
      </c>
      <c r="E9" s="235">
        <f>'CRA COP'!D215</f>
        <v>6.7895390000000004</v>
      </c>
      <c r="F9" s="236">
        <v>738.38</v>
      </c>
      <c r="G9" s="237" t="s">
        <v>284</v>
      </c>
      <c r="H9" s="238">
        <f t="shared" si="0"/>
        <v>5013.26</v>
      </c>
      <c r="I9" s="447"/>
      <c r="J9" s="238">
        <f>$I$5*H9</f>
        <v>100265.2</v>
      </c>
      <c r="K9" s="23"/>
      <c r="M9" s="184"/>
    </row>
    <row r="10" spans="1:14" ht="16" thickBot="1" x14ac:dyDescent="0.4">
      <c r="A10" s="18"/>
      <c r="B10" s="233">
        <v>6</v>
      </c>
      <c r="C10" s="239" t="s">
        <v>280</v>
      </c>
      <c r="D10" s="440"/>
      <c r="E10" s="235">
        <f>CRA!D215</f>
        <v>17.472695999999999</v>
      </c>
      <c r="F10" s="236">
        <v>264.25</v>
      </c>
      <c r="G10" s="237" t="s">
        <v>284</v>
      </c>
      <c r="H10" s="238">
        <f t="shared" si="0"/>
        <v>4617.16</v>
      </c>
      <c r="I10" s="447"/>
      <c r="J10" s="238">
        <f t="shared" ref="J10:J18" si="1">$I$5*H10</f>
        <v>92343.2</v>
      </c>
      <c r="K10" s="23"/>
      <c r="M10" s="184"/>
    </row>
    <row r="11" spans="1:14" ht="16" thickBot="1" x14ac:dyDescent="0.4">
      <c r="A11" s="18"/>
      <c r="B11" s="20">
        <v>7</v>
      </c>
      <c r="C11" s="231" t="s">
        <v>279</v>
      </c>
      <c r="D11" s="441" t="s">
        <v>513</v>
      </c>
      <c r="E11" s="180">
        <f>DRS!D215+'DRS COP'!D215</f>
        <v>10.688549999999999</v>
      </c>
      <c r="F11" s="176">
        <v>2423.12</v>
      </c>
      <c r="G11" s="182" t="s">
        <v>284</v>
      </c>
      <c r="H11" s="21">
        <f t="shared" si="0"/>
        <v>25899.64</v>
      </c>
      <c r="I11" s="447"/>
      <c r="J11" s="238">
        <f t="shared" si="1"/>
        <v>517992.8</v>
      </c>
      <c r="K11" s="23"/>
      <c r="M11" s="184"/>
    </row>
    <row r="12" spans="1:14" ht="16" thickBot="1" x14ac:dyDescent="0.4">
      <c r="A12" s="18"/>
      <c r="B12" s="20">
        <v>8</v>
      </c>
      <c r="C12" s="232" t="s">
        <v>280</v>
      </c>
      <c r="D12" s="442"/>
      <c r="E12" s="180">
        <f>'DRS JARD'!D215</f>
        <v>0.64345799999999997</v>
      </c>
      <c r="F12" s="176">
        <v>15238.6</v>
      </c>
      <c r="G12" s="182" t="s">
        <v>284</v>
      </c>
      <c r="H12" s="21">
        <f t="shared" si="0"/>
        <v>9805.4</v>
      </c>
      <c r="I12" s="447"/>
      <c r="J12" s="238">
        <f t="shared" si="1"/>
        <v>196108</v>
      </c>
      <c r="K12" s="23"/>
      <c r="M12" s="184"/>
    </row>
    <row r="13" spans="1:14" ht="16" thickBot="1" x14ac:dyDescent="0.4">
      <c r="A13" s="18"/>
      <c r="B13" s="233">
        <v>9</v>
      </c>
      <c r="C13" s="234" t="s">
        <v>279</v>
      </c>
      <c r="D13" s="443" t="s">
        <v>514</v>
      </c>
      <c r="E13" s="235">
        <f>'TLS COP'!D215</f>
        <v>5.7031229999999997</v>
      </c>
      <c r="F13" s="236">
        <v>794</v>
      </c>
      <c r="G13" s="237" t="s">
        <v>284</v>
      </c>
      <c r="H13" s="238">
        <f t="shared" si="0"/>
        <v>4528.28</v>
      </c>
      <c r="I13" s="447"/>
      <c r="J13" s="238">
        <f t="shared" si="1"/>
        <v>90565.6</v>
      </c>
      <c r="K13" s="23"/>
      <c r="M13" s="184"/>
    </row>
    <row r="14" spans="1:14" ht="16" thickBot="1" x14ac:dyDescent="0.4">
      <c r="A14" s="18"/>
      <c r="B14" s="233">
        <v>10</v>
      </c>
      <c r="C14" s="239" t="s">
        <v>280</v>
      </c>
      <c r="D14" s="444"/>
      <c r="E14" s="235">
        <f>'TLS JARD'!D215</f>
        <v>6.3426830000000001</v>
      </c>
      <c r="F14" s="236">
        <v>5610.65</v>
      </c>
      <c r="G14" s="237" t="s">
        <v>284</v>
      </c>
      <c r="H14" s="238">
        <f t="shared" si="0"/>
        <v>35586.57</v>
      </c>
      <c r="I14" s="447"/>
      <c r="J14" s="238">
        <f t="shared" si="1"/>
        <v>711731.4</v>
      </c>
      <c r="K14" s="23"/>
      <c r="M14" s="184"/>
    </row>
    <row r="15" spans="1:14" ht="16" thickBot="1" x14ac:dyDescent="0.4">
      <c r="A15" s="18"/>
      <c r="B15" s="20">
        <v>11</v>
      </c>
      <c r="C15" s="231" t="s">
        <v>279</v>
      </c>
      <c r="D15" s="434" t="s">
        <v>515</v>
      </c>
      <c r="E15" s="180">
        <f>'PPA COP'!D215</f>
        <v>15.838761999999999</v>
      </c>
      <c r="F15" s="176">
        <v>1711.88</v>
      </c>
      <c r="G15" s="182" t="s">
        <v>284</v>
      </c>
      <c r="H15" s="20">
        <f>F15*E15</f>
        <v>27114.059892559999</v>
      </c>
      <c r="I15" s="447"/>
      <c r="J15" s="238">
        <f t="shared" si="1"/>
        <v>542281.19999999995</v>
      </c>
      <c r="K15" s="23"/>
      <c r="M15" s="184"/>
    </row>
    <row r="16" spans="1:14" ht="16" thickBot="1" x14ac:dyDescent="0.4">
      <c r="A16" s="18"/>
      <c r="B16" s="20">
        <v>12</v>
      </c>
      <c r="C16" s="232" t="s">
        <v>280</v>
      </c>
      <c r="D16" s="445"/>
      <c r="E16" s="180">
        <f>'PPA JARD'!D215</f>
        <v>0.16867099999999999</v>
      </c>
      <c r="F16" s="176">
        <v>29802.46</v>
      </c>
      <c r="G16" s="182" t="s">
        <v>284</v>
      </c>
      <c r="H16" s="21">
        <f t="shared" si="0"/>
        <v>5026.8100000000004</v>
      </c>
      <c r="I16" s="447"/>
      <c r="J16" s="238">
        <f t="shared" si="1"/>
        <v>100536.2</v>
      </c>
      <c r="K16" s="23"/>
      <c r="M16" s="184"/>
    </row>
    <row r="17" spans="1:13" ht="16" thickBot="1" x14ac:dyDescent="0.4">
      <c r="A17" s="18"/>
      <c r="B17" s="233">
        <v>13</v>
      </c>
      <c r="C17" s="234" t="s">
        <v>279</v>
      </c>
      <c r="D17" s="439" t="s">
        <v>516</v>
      </c>
      <c r="E17" s="235">
        <f>NVI!D215+'NVI COP'!D215</f>
        <v>20.514944</v>
      </c>
      <c r="F17" s="236">
        <v>728.04</v>
      </c>
      <c r="G17" s="237" t="s">
        <v>284</v>
      </c>
      <c r="H17" s="238">
        <f t="shared" si="0"/>
        <v>14935.7</v>
      </c>
      <c r="I17" s="447"/>
      <c r="J17" s="238">
        <f t="shared" si="1"/>
        <v>298714</v>
      </c>
      <c r="K17" s="23"/>
      <c r="M17" s="184"/>
    </row>
    <row r="18" spans="1:13" ht="16" thickBot="1" x14ac:dyDescent="0.4">
      <c r="A18" s="18"/>
      <c r="B18" s="233">
        <v>14</v>
      </c>
      <c r="C18" s="239" t="s">
        <v>280</v>
      </c>
      <c r="D18" s="440"/>
      <c r="E18" s="235">
        <f>'NVI JARD'!D215</f>
        <v>0.665578</v>
      </c>
      <c r="F18" s="236">
        <v>5840.05</v>
      </c>
      <c r="G18" s="236" t="s">
        <v>284</v>
      </c>
      <c r="H18" s="238">
        <f t="shared" si="0"/>
        <v>3887.01</v>
      </c>
      <c r="I18" s="447"/>
      <c r="J18" s="238">
        <f t="shared" si="1"/>
        <v>77740.2</v>
      </c>
      <c r="K18" s="23"/>
      <c r="M18" s="184"/>
    </row>
    <row r="19" spans="1:13" ht="16.5" customHeight="1" thickBot="1" x14ac:dyDescent="0.4">
      <c r="A19" s="18"/>
      <c r="B19" s="436" t="s">
        <v>92</v>
      </c>
      <c r="C19" s="437"/>
      <c r="D19" s="437"/>
      <c r="E19" s="437"/>
      <c r="F19" s="437"/>
      <c r="G19" s="438"/>
      <c r="H19" s="22">
        <f>SUM(H5:H18)</f>
        <v>184866.27</v>
      </c>
      <c r="I19" s="448"/>
      <c r="J19" s="388">
        <f>SUM(J5:J18)</f>
        <v>3697325.4</v>
      </c>
      <c r="K19" s="23"/>
      <c r="M19" s="184"/>
    </row>
    <row r="20" spans="1:13" hidden="1" x14ac:dyDescent="0.35">
      <c r="A20" s="18"/>
      <c r="B20" s="18"/>
      <c r="C20" s="18"/>
      <c r="D20" s="18"/>
      <c r="E20" s="18"/>
      <c r="F20" s="18"/>
      <c r="G20" s="18"/>
      <c r="H20" s="18"/>
      <c r="I20" s="18"/>
      <c r="J20" s="23"/>
      <c r="K20" s="18"/>
      <c r="M20" s="184"/>
    </row>
    <row r="21" spans="1:13" ht="15.5" x14ac:dyDescent="0.35">
      <c r="B21" s="427"/>
      <c r="C21" s="427"/>
      <c r="D21" s="427"/>
      <c r="E21" s="427"/>
      <c r="F21" s="427"/>
      <c r="G21" s="427"/>
      <c r="H21" s="427"/>
      <c r="I21" s="384" t="s">
        <v>555</v>
      </c>
      <c r="J21" s="386">
        <f>J19/20</f>
        <v>184866.27</v>
      </c>
    </row>
    <row r="22" spans="1:13" ht="15.5" x14ac:dyDescent="0.35">
      <c r="B22" s="427"/>
      <c r="C22" s="427"/>
      <c r="D22" s="427"/>
      <c r="E22" s="427"/>
      <c r="F22" s="427"/>
      <c r="G22" s="427"/>
      <c r="H22" s="427"/>
      <c r="I22" s="385" t="s">
        <v>556</v>
      </c>
      <c r="J22" s="387">
        <f>J21*12</f>
        <v>2218395.2400000002</v>
      </c>
    </row>
    <row r="23" spans="1:13" x14ac:dyDescent="0.35">
      <c r="F23" s="184"/>
    </row>
    <row r="26" spans="1:13" x14ac:dyDescent="0.35">
      <c r="G26" s="203"/>
    </row>
  </sheetData>
  <mergeCells count="11">
    <mergeCell ref="B21:H22"/>
    <mergeCell ref="B2:J2"/>
    <mergeCell ref="B3:J3"/>
    <mergeCell ref="D5:D8"/>
    <mergeCell ref="B19:G19"/>
    <mergeCell ref="D9:D10"/>
    <mergeCell ref="D11:D12"/>
    <mergeCell ref="D13:D14"/>
    <mergeCell ref="D15:D16"/>
    <mergeCell ref="D17:D18"/>
    <mergeCell ref="I5:I19"/>
  </mergeCells>
  <pageMargins left="0.51181102362204722" right="0.51181102362204722" top="0.78740157480314965" bottom="0.78740157480314965" header="0.31496062992125984" footer="0.31496062992125984"/>
  <pageSetup paperSize="9" scale="48" orientation="portrait" r:id="rId1"/>
  <rowBreaks count="1" manualBreakCount="1">
    <brk id="24" max="16383" man="1"/>
  </rowBreaks>
  <colBreaks count="1" manualBreakCount="1">
    <brk id="3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961611-3B0E-4FF6-BEDB-A29F57CD5FFB}">
  <sheetPr codeName="Planilha4">
    <tabColor rgb="FF92D050"/>
    <pageSetUpPr fitToPage="1"/>
  </sheetPr>
  <dimension ref="A1:K34"/>
  <sheetViews>
    <sheetView view="pageBreakPreview" topLeftCell="A19" zoomScaleNormal="100" zoomScaleSheetLayoutView="100" workbookViewId="0">
      <selection activeCell="B28" sqref="B28:H34"/>
    </sheetView>
  </sheetViews>
  <sheetFormatPr defaultColWidth="9.1796875" defaultRowHeight="14.5" x14ac:dyDescent="0.35"/>
  <cols>
    <col min="1" max="1" width="3.26953125" customWidth="1"/>
    <col min="2" max="2" width="38.453125" customWidth="1"/>
    <col min="3" max="3" width="14.453125" bestFit="1" customWidth="1"/>
    <col min="4" max="4" width="10.81640625" bestFit="1" customWidth="1"/>
    <col min="5" max="5" width="11.453125" bestFit="1" customWidth="1"/>
    <col min="6" max="6" width="12.453125" customWidth="1"/>
    <col min="7" max="7" width="12.453125" bestFit="1" customWidth="1"/>
    <col min="8" max="8" width="16.1796875" customWidth="1"/>
  </cols>
  <sheetData>
    <row r="1" spans="1:8" ht="15" thickBot="1" x14ac:dyDescent="0.4">
      <c r="A1" s="17"/>
      <c r="B1" s="17"/>
      <c r="C1" s="160"/>
      <c r="D1" s="17"/>
      <c r="E1" s="17"/>
      <c r="F1" s="17"/>
      <c r="G1" s="17"/>
      <c r="H1" s="17"/>
    </row>
    <row r="2" spans="1:8" ht="21" thickBot="1" x14ac:dyDescent="0.4">
      <c r="A2" s="17"/>
      <c r="B2" s="449" t="s">
        <v>121</v>
      </c>
      <c r="C2" s="450"/>
      <c r="D2" s="450"/>
      <c r="E2" s="450"/>
      <c r="F2" s="450"/>
      <c r="G2" s="450"/>
      <c r="H2" s="451"/>
    </row>
    <row r="3" spans="1:8" ht="18" thickBot="1" x14ac:dyDescent="0.4">
      <c r="A3" s="17"/>
      <c r="B3" s="452" t="s">
        <v>122</v>
      </c>
      <c r="C3" s="453"/>
      <c r="D3" s="453"/>
      <c r="E3" s="453"/>
      <c r="F3" s="453"/>
      <c r="G3" s="453"/>
      <c r="H3" s="454"/>
    </row>
    <row r="4" spans="1:8" ht="29" x14ac:dyDescent="0.35">
      <c r="A4" s="17"/>
      <c r="B4" s="15" t="s">
        <v>7</v>
      </c>
      <c r="C4" s="157" t="s">
        <v>254</v>
      </c>
      <c r="D4" s="14" t="s">
        <v>120</v>
      </c>
      <c r="E4" s="14" t="s">
        <v>0</v>
      </c>
      <c r="F4" s="14" t="s">
        <v>8</v>
      </c>
      <c r="G4" s="14" t="s">
        <v>9</v>
      </c>
      <c r="H4" s="16" t="s">
        <v>253</v>
      </c>
    </row>
    <row r="5" spans="1:8" ht="18" customHeight="1" x14ac:dyDescent="0.35">
      <c r="A5" s="17"/>
      <c r="B5" s="2" t="s">
        <v>286</v>
      </c>
      <c r="C5" s="158">
        <v>265926</v>
      </c>
      <c r="D5" s="161">
        <v>122.3</v>
      </c>
      <c r="E5" s="98">
        <v>1</v>
      </c>
      <c r="F5" s="99">
        <f>D5*E5</f>
        <v>122.3</v>
      </c>
      <c r="G5" s="98">
        <v>36</v>
      </c>
      <c r="H5" s="100">
        <f>F5/G5</f>
        <v>3.4</v>
      </c>
    </row>
    <row r="6" spans="1:8" x14ac:dyDescent="0.35">
      <c r="A6" s="17"/>
      <c r="B6" s="2" t="s">
        <v>287</v>
      </c>
      <c r="C6" s="158">
        <v>151064</v>
      </c>
      <c r="D6" s="161">
        <v>62.37</v>
      </c>
      <c r="E6" s="98">
        <v>2</v>
      </c>
      <c r="F6" s="99">
        <f t="shared" ref="F6:F11" si="0">D6*E6</f>
        <v>124.74</v>
      </c>
      <c r="G6" s="98">
        <v>24</v>
      </c>
      <c r="H6" s="100">
        <f t="shared" ref="H6:H11" si="1">F6/G6</f>
        <v>5.2</v>
      </c>
    </row>
    <row r="7" spans="1:8" x14ac:dyDescent="0.35">
      <c r="A7" s="17"/>
      <c r="B7" s="2" t="s">
        <v>288</v>
      </c>
      <c r="C7" s="158">
        <v>150284</v>
      </c>
      <c r="D7" s="161">
        <v>42.44</v>
      </c>
      <c r="E7" s="98">
        <v>3</v>
      </c>
      <c r="F7" s="99">
        <f t="shared" si="0"/>
        <v>127.32</v>
      </c>
      <c r="G7" s="98">
        <v>24</v>
      </c>
      <c r="H7" s="100">
        <f t="shared" si="1"/>
        <v>5.31</v>
      </c>
    </row>
    <row r="8" spans="1:8" x14ac:dyDescent="0.35">
      <c r="A8" s="17"/>
      <c r="B8" s="2" t="s">
        <v>256</v>
      </c>
      <c r="C8" s="158">
        <v>444178</v>
      </c>
      <c r="D8" s="161">
        <v>15.3</v>
      </c>
      <c r="E8" s="98">
        <v>3</v>
      </c>
      <c r="F8" s="99">
        <f t="shared" si="0"/>
        <v>45.9</v>
      </c>
      <c r="G8" s="98">
        <v>24</v>
      </c>
      <c r="H8" s="100">
        <f t="shared" si="1"/>
        <v>1.91</v>
      </c>
    </row>
    <row r="9" spans="1:8" ht="17.25" customHeight="1" x14ac:dyDescent="0.35">
      <c r="A9" s="17"/>
      <c r="B9" s="2" t="s">
        <v>289</v>
      </c>
      <c r="C9" s="158" t="s">
        <v>257</v>
      </c>
      <c r="D9" s="161">
        <v>108.75</v>
      </c>
      <c r="E9" s="98">
        <v>1</v>
      </c>
      <c r="F9" s="99">
        <f t="shared" si="0"/>
        <v>108.75</v>
      </c>
      <c r="G9" s="98">
        <v>24</v>
      </c>
      <c r="H9" s="100">
        <f>F9/G9</f>
        <v>4.53</v>
      </c>
    </row>
    <row r="10" spans="1:8" x14ac:dyDescent="0.35">
      <c r="A10" s="17"/>
      <c r="B10" s="2" t="s">
        <v>290</v>
      </c>
      <c r="C10" s="158">
        <v>446321</v>
      </c>
      <c r="D10" s="161">
        <v>9.67</v>
      </c>
      <c r="E10" s="98">
        <v>5</v>
      </c>
      <c r="F10" s="99">
        <f t="shared" si="0"/>
        <v>48.35</v>
      </c>
      <c r="G10" s="98">
        <v>12</v>
      </c>
      <c r="H10" s="100">
        <f>F10/G10</f>
        <v>4.03</v>
      </c>
    </row>
    <row r="11" spans="1:8" ht="15" thickBot="1" x14ac:dyDescent="0.4">
      <c r="A11" s="17"/>
      <c r="B11" s="3" t="s">
        <v>255</v>
      </c>
      <c r="C11" s="159">
        <v>10111</v>
      </c>
      <c r="D11" s="162">
        <v>8.33</v>
      </c>
      <c r="E11" s="101">
        <v>1</v>
      </c>
      <c r="F11" s="99">
        <f t="shared" si="0"/>
        <v>8.33</v>
      </c>
      <c r="G11" s="101">
        <v>12</v>
      </c>
      <c r="H11" s="102">
        <f t="shared" si="1"/>
        <v>0.69</v>
      </c>
    </row>
    <row r="12" spans="1:8" ht="15" thickBot="1" x14ac:dyDescent="0.4">
      <c r="A12" s="17"/>
      <c r="B12" s="455" t="s">
        <v>371</v>
      </c>
      <c r="C12" s="456"/>
      <c r="D12" s="456"/>
      <c r="E12" s="456"/>
      <c r="F12" s="456"/>
      <c r="G12" s="456"/>
      <c r="H12" s="163">
        <f>SUM(H5:H11)</f>
        <v>25.07</v>
      </c>
    </row>
    <row r="13" spans="1:8" x14ac:dyDescent="0.35">
      <c r="A13" s="17"/>
      <c r="B13" s="2" t="s">
        <v>373</v>
      </c>
      <c r="C13" s="158">
        <v>402824</v>
      </c>
      <c r="D13" s="161">
        <v>110.33</v>
      </c>
      <c r="E13" s="98">
        <v>3</v>
      </c>
      <c r="F13" s="99">
        <f>D13*E13</f>
        <v>330.99</v>
      </c>
      <c r="G13" s="98">
        <v>24</v>
      </c>
      <c r="H13" s="100">
        <f>F13/G13</f>
        <v>13.79</v>
      </c>
    </row>
    <row r="14" spans="1:8" x14ac:dyDescent="0.35">
      <c r="A14" s="17"/>
      <c r="B14" s="2" t="s">
        <v>374</v>
      </c>
      <c r="C14" s="158">
        <v>386106</v>
      </c>
      <c r="D14" s="161">
        <v>19.399999999999999</v>
      </c>
      <c r="E14" s="98">
        <v>3</v>
      </c>
      <c r="F14" s="99">
        <f t="shared" ref="F14:F18" si="2">D14*E14</f>
        <v>58.2</v>
      </c>
      <c r="G14" s="98">
        <v>12</v>
      </c>
      <c r="H14" s="100">
        <f t="shared" ref="H14:H15" si="3">F14/G14</f>
        <v>4.8499999999999996</v>
      </c>
    </row>
    <row r="15" spans="1:8" x14ac:dyDescent="0.35">
      <c r="A15" s="17"/>
      <c r="B15" s="2" t="s">
        <v>375</v>
      </c>
      <c r="C15" s="158">
        <v>399423</v>
      </c>
      <c r="D15" s="161">
        <v>20.51</v>
      </c>
      <c r="E15" s="98">
        <v>2</v>
      </c>
      <c r="F15" s="99">
        <f t="shared" si="2"/>
        <v>41.02</v>
      </c>
      <c r="G15" s="98">
        <v>12</v>
      </c>
      <c r="H15" s="100">
        <f t="shared" si="3"/>
        <v>3.42</v>
      </c>
    </row>
    <row r="16" spans="1:8" x14ac:dyDescent="0.35">
      <c r="A16" s="17"/>
      <c r="B16" s="2" t="s">
        <v>289</v>
      </c>
      <c r="C16" s="158">
        <v>294789</v>
      </c>
      <c r="D16" s="161">
        <v>108.75</v>
      </c>
      <c r="E16" s="98">
        <v>1</v>
      </c>
      <c r="F16" s="99">
        <f t="shared" si="2"/>
        <v>108.75</v>
      </c>
      <c r="G16" s="98">
        <v>24</v>
      </c>
      <c r="H16" s="100">
        <f>F16/G16</f>
        <v>4.53</v>
      </c>
    </row>
    <row r="17" spans="1:11" x14ac:dyDescent="0.35">
      <c r="A17" s="17"/>
      <c r="B17" s="2" t="s">
        <v>376</v>
      </c>
      <c r="C17" s="158">
        <v>446321</v>
      </c>
      <c r="D17" s="161">
        <v>9.67</v>
      </c>
      <c r="E17" s="98">
        <v>5</v>
      </c>
      <c r="F17" s="99">
        <f t="shared" si="2"/>
        <v>48.35</v>
      </c>
      <c r="G17" s="98">
        <v>12</v>
      </c>
      <c r="H17" s="100">
        <f>F17/G17</f>
        <v>4.03</v>
      </c>
    </row>
    <row r="18" spans="1:11" ht="15" thickBot="1" x14ac:dyDescent="0.4">
      <c r="A18" s="17"/>
      <c r="B18" s="3" t="s">
        <v>255</v>
      </c>
      <c r="C18" s="159">
        <v>10111</v>
      </c>
      <c r="D18" s="162">
        <v>8.33</v>
      </c>
      <c r="E18" s="101">
        <v>1</v>
      </c>
      <c r="F18" s="99">
        <f t="shared" si="2"/>
        <v>8.33</v>
      </c>
      <c r="G18" s="101">
        <v>12</v>
      </c>
      <c r="H18" s="102">
        <f t="shared" ref="H18" si="4">F18/G18</f>
        <v>0.69</v>
      </c>
    </row>
    <row r="19" spans="1:11" ht="15" thickBot="1" x14ac:dyDescent="0.4">
      <c r="A19" s="17"/>
      <c r="B19" s="455" t="s">
        <v>372</v>
      </c>
      <c r="C19" s="456"/>
      <c r="D19" s="456"/>
      <c r="E19" s="456"/>
      <c r="F19" s="456"/>
      <c r="G19" s="456"/>
      <c r="H19" s="163">
        <f>SUM(H13:H18)</f>
        <v>31.31</v>
      </c>
    </row>
    <row r="20" spans="1:11" ht="15.75" customHeight="1" x14ac:dyDescent="0.35">
      <c r="A20" s="17"/>
      <c r="B20" s="17"/>
      <c r="C20" s="160"/>
      <c r="D20" s="17"/>
      <c r="E20" s="17"/>
      <c r="F20" s="17"/>
      <c r="G20" s="17"/>
      <c r="H20" s="17"/>
    </row>
    <row r="21" spans="1:11" ht="15" thickBot="1" x14ac:dyDescent="0.4">
      <c r="A21" s="17"/>
      <c r="B21" s="17"/>
      <c r="C21" s="160"/>
      <c r="D21" s="17"/>
      <c r="E21" s="17"/>
      <c r="F21" s="17"/>
      <c r="G21" s="17"/>
      <c r="H21" s="17"/>
    </row>
    <row r="22" spans="1:11" ht="18" thickBot="1" x14ac:dyDescent="0.4">
      <c r="A22" s="17"/>
      <c r="B22" s="452" t="s">
        <v>367</v>
      </c>
      <c r="C22" s="453"/>
      <c r="D22" s="453"/>
      <c r="E22" s="453"/>
      <c r="F22" s="453"/>
      <c r="G22" s="453"/>
      <c r="H22" s="454"/>
    </row>
    <row r="23" spans="1:11" ht="29.5" thickBot="1" x14ac:dyDescent="0.4">
      <c r="A23" s="17"/>
      <c r="B23" s="460" t="s">
        <v>7</v>
      </c>
      <c r="C23" s="461"/>
      <c r="D23" s="461"/>
      <c r="E23" s="188" t="s">
        <v>368</v>
      </c>
      <c r="F23" s="188" t="s">
        <v>120</v>
      </c>
      <c r="G23" s="188" t="s">
        <v>9</v>
      </c>
      <c r="H23" s="189" t="s">
        <v>10</v>
      </c>
    </row>
    <row r="24" spans="1:11" x14ac:dyDescent="0.35">
      <c r="A24" s="17"/>
      <c r="B24" s="464" t="s">
        <v>324</v>
      </c>
      <c r="C24" s="465"/>
      <c r="D24" s="465"/>
      <c r="E24" s="190">
        <v>40436</v>
      </c>
      <c r="F24" s="191">
        <v>1443.89</v>
      </c>
      <c r="G24" s="190">
        <v>120</v>
      </c>
      <c r="H24" s="192">
        <f>F24/G24</f>
        <v>12.03</v>
      </c>
    </row>
    <row r="25" spans="1:11" x14ac:dyDescent="0.35">
      <c r="A25" s="17"/>
      <c r="B25" s="462" t="s">
        <v>123</v>
      </c>
      <c r="C25" s="463"/>
      <c r="D25" s="463"/>
      <c r="E25" s="186">
        <v>435780</v>
      </c>
      <c r="F25" s="187">
        <v>1413.25</v>
      </c>
      <c r="G25" s="186">
        <v>120</v>
      </c>
      <c r="H25" s="198">
        <f>F25/G25</f>
        <v>11.78</v>
      </c>
    </row>
    <row r="26" spans="1:11" x14ac:dyDescent="0.35">
      <c r="A26" s="17"/>
      <c r="B26" s="462" t="s">
        <v>300</v>
      </c>
      <c r="C26" s="463"/>
      <c r="D26" s="463"/>
      <c r="E26" s="186" t="s">
        <v>301</v>
      </c>
      <c r="F26" s="187">
        <f>126*G26</f>
        <v>2520</v>
      </c>
      <c r="G26" s="197">
        <f>Resumo!I5</f>
        <v>20</v>
      </c>
      <c r="H26" s="198">
        <f>F26/G26</f>
        <v>126</v>
      </c>
    </row>
    <row r="27" spans="1:11" ht="15" thickBot="1" x14ac:dyDescent="0.4">
      <c r="A27" s="17"/>
      <c r="B27" s="466" t="s">
        <v>258</v>
      </c>
      <c r="C27" s="467"/>
      <c r="D27" s="467"/>
      <c r="E27" s="201">
        <v>8800</v>
      </c>
      <c r="F27" s="206">
        <v>1231.54</v>
      </c>
      <c r="G27" s="201">
        <v>20</v>
      </c>
      <c r="H27" s="202">
        <f>F27/G27</f>
        <v>61.58</v>
      </c>
    </row>
    <row r="28" spans="1:11" ht="15" thickBot="1" x14ac:dyDescent="0.4">
      <c r="A28" s="17"/>
      <c r="B28" s="457" t="s">
        <v>124</v>
      </c>
      <c r="C28" s="458"/>
      <c r="D28" s="458"/>
      <c r="E28" s="459"/>
      <c r="F28" s="209" t="s">
        <v>139</v>
      </c>
      <c r="G28" s="207" t="s">
        <v>126</v>
      </c>
      <c r="H28" s="208" t="s">
        <v>127</v>
      </c>
    </row>
    <row r="29" spans="1:11" x14ac:dyDescent="0.35">
      <c r="A29" s="17"/>
      <c r="B29" s="457"/>
      <c r="C29" s="458"/>
      <c r="D29" s="458"/>
      <c r="E29" s="459"/>
      <c r="F29" s="4" t="s">
        <v>125</v>
      </c>
      <c r="G29" s="5">
        <v>11</v>
      </c>
      <c r="H29" s="164">
        <f t="shared" ref="H29:H34" si="5">(($H$25+$H$27)/G29)+($H$26/SUM($G$29:$G$34))</f>
        <v>11.34</v>
      </c>
      <c r="K29" s="210"/>
    </row>
    <row r="30" spans="1:11" x14ac:dyDescent="0.35">
      <c r="A30" s="17"/>
      <c r="B30" s="457"/>
      <c r="C30" s="458"/>
      <c r="D30" s="458"/>
      <c r="E30" s="459"/>
      <c r="F30" s="4" t="s">
        <v>506</v>
      </c>
      <c r="G30" s="5">
        <v>2</v>
      </c>
      <c r="H30" s="164">
        <f t="shared" si="5"/>
        <v>41.35</v>
      </c>
    </row>
    <row r="31" spans="1:11" x14ac:dyDescent="0.35">
      <c r="A31" s="17"/>
      <c r="B31" s="457"/>
      <c r="C31" s="458"/>
      <c r="D31" s="458"/>
      <c r="E31" s="459"/>
      <c r="F31" s="4" t="s">
        <v>507</v>
      </c>
      <c r="G31" s="5">
        <v>5</v>
      </c>
      <c r="H31" s="164">
        <f t="shared" si="5"/>
        <v>19.34</v>
      </c>
    </row>
    <row r="32" spans="1:11" x14ac:dyDescent="0.35">
      <c r="A32" s="17"/>
      <c r="B32" s="457"/>
      <c r="C32" s="458"/>
      <c r="D32" s="458"/>
      <c r="E32" s="459"/>
      <c r="F32" s="4" t="s">
        <v>508</v>
      </c>
      <c r="G32" s="5">
        <v>2</v>
      </c>
      <c r="H32" s="164">
        <f t="shared" si="5"/>
        <v>41.35</v>
      </c>
    </row>
    <row r="33" spans="1:8" x14ac:dyDescent="0.35">
      <c r="A33" s="17"/>
      <c r="B33" s="457"/>
      <c r="C33" s="458"/>
      <c r="D33" s="458"/>
      <c r="E33" s="459"/>
      <c r="F33" s="4" t="s">
        <v>509</v>
      </c>
      <c r="G33" s="5">
        <v>4</v>
      </c>
      <c r="H33" s="164">
        <f t="shared" si="5"/>
        <v>23.01</v>
      </c>
    </row>
    <row r="34" spans="1:8" x14ac:dyDescent="0.35">
      <c r="A34" s="17"/>
      <c r="B34" s="457"/>
      <c r="C34" s="458"/>
      <c r="D34" s="458"/>
      <c r="E34" s="459"/>
      <c r="F34" s="4" t="s">
        <v>510</v>
      </c>
      <c r="G34" s="5">
        <v>3</v>
      </c>
      <c r="H34" s="164">
        <f t="shared" si="5"/>
        <v>29.12</v>
      </c>
    </row>
  </sheetData>
  <mergeCells count="11">
    <mergeCell ref="B2:H2"/>
    <mergeCell ref="B3:H3"/>
    <mergeCell ref="B12:G12"/>
    <mergeCell ref="B22:H22"/>
    <mergeCell ref="B28:E34"/>
    <mergeCell ref="B23:D23"/>
    <mergeCell ref="B25:D25"/>
    <mergeCell ref="B26:D26"/>
    <mergeCell ref="B24:D24"/>
    <mergeCell ref="B27:D27"/>
    <mergeCell ref="B19:G19"/>
  </mergeCells>
  <pageMargins left="0" right="0.51181102362204722" top="0.19685039370078741" bottom="0.39370078740157483" header="0.31496062992125984" footer="0.31496062992125984"/>
  <pageSetup paperSize="9" scale="80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795A28-FC36-42E9-BAA8-BFD5FCF8C63C}">
  <sheetPr codeName="Planilha5">
    <tabColor rgb="FFFFFF00"/>
  </sheetPr>
  <dimension ref="A1:P144"/>
  <sheetViews>
    <sheetView zoomScale="75" zoomScaleNormal="75" workbookViewId="0">
      <pane xSplit="5" ySplit="4" topLeftCell="F77" activePane="bottomRight" state="frozen"/>
      <selection pane="topRight" activeCell="F1" sqref="F1"/>
      <selection pane="bottomLeft" activeCell="A5" sqref="A5"/>
      <selection pane="bottomRight" activeCell="H124" sqref="H124"/>
    </sheetView>
  </sheetViews>
  <sheetFormatPr defaultColWidth="9.1796875" defaultRowHeight="14.5" x14ac:dyDescent="0.35"/>
  <cols>
    <col min="1" max="1" width="9.1796875" style="246"/>
    <col min="2" max="2" width="57.7265625" style="246" bestFit="1" customWidth="1"/>
    <col min="3" max="3" width="12.7265625" style="246" customWidth="1"/>
    <col min="4" max="4" width="9.26953125" style="246" customWidth="1"/>
    <col min="5" max="5" width="12.7265625" style="246" bestFit="1" customWidth="1"/>
    <col min="6" max="6" width="12.26953125" style="246" bestFit="1" customWidth="1"/>
    <col min="7" max="9" width="12.453125" style="246" bestFit="1" customWidth="1"/>
    <col min="10" max="10" width="12.26953125" style="246" bestFit="1" customWidth="1"/>
    <col min="11" max="11" width="12.453125" style="246" bestFit="1" customWidth="1"/>
    <col min="12" max="16384" width="9.1796875" style="246"/>
  </cols>
  <sheetData>
    <row r="1" spans="1:11" ht="16.5" customHeight="1" x14ac:dyDescent="0.35">
      <c r="A1" s="294"/>
      <c r="B1" s="510" t="s">
        <v>302</v>
      </c>
      <c r="C1" s="510"/>
      <c r="D1" s="510"/>
      <c r="E1" s="510"/>
      <c r="F1" s="510"/>
      <c r="G1" s="510"/>
      <c r="H1" s="510"/>
      <c r="I1" s="510"/>
      <c r="J1" s="510"/>
    </row>
    <row r="2" spans="1:11" ht="15" thickBot="1" x14ac:dyDescent="0.4">
      <c r="A2" s="294"/>
      <c r="B2" s="294"/>
      <c r="C2" s="294"/>
      <c r="D2" s="294"/>
      <c r="E2" s="294"/>
      <c r="F2" s="294"/>
      <c r="G2" s="294"/>
      <c r="H2" s="294"/>
      <c r="I2" s="294"/>
      <c r="J2" s="294"/>
      <c r="K2" s="294"/>
    </row>
    <row r="3" spans="1:11" ht="15" thickBot="1" x14ac:dyDescent="0.4">
      <c r="A3" s="501" t="s">
        <v>303</v>
      </c>
      <c r="B3" s="503" t="s">
        <v>304</v>
      </c>
      <c r="C3" s="503" t="s">
        <v>254</v>
      </c>
      <c r="D3" s="503" t="s">
        <v>305</v>
      </c>
      <c r="E3" s="505" t="s">
        <v>306</v>
      </c>
      <c r="F3" s="529" t="s">
        <v>478</v>
      </c>
      <c r="G3" s="530"/>
      <c r="H3" s="530"/>
      <c r="I3" s="530"/>
      <c r="J3" s="530"/>
      <c r="K3" s="531"/>
    </row>
    <row r="4" spans="1:11" ht="15" thickBot="1" x14ac:dyDescent="0.4">
      <c r="A4" s="502"/>
      <c r="B4" s="504"/>
      <c r="C4" s="504"/>
      <c r="D4" s="504"/>
      <c r="E4" s="506"/>
      <c r="F4" s="295" t="s">
        <v>517</v>
      </c>
      <c r="G4" s="296" t="s">
        <v>506</v>
      </c>
      <c r="H4" s="296" t="s">
        <v>507</v>
      </c>
      <c r="I4" s="297" t="s">
        <v>508</v>
      </c>
      <c r="J4" s="297" t="s">
        <v>509</v>
      </c>
      <c r="K4" s="297" t="s">
        <v>510</v>
      </c>
    </row>
    <row r="5" spans="1:11" x14ac:dyDescent="0.35">
      <c r="A5" s="511">
        <v>1</v>
      </c>
      <c r="B5" s="512" t="s">
        <v>446</v>
      </c>
      <c r="C5" s="514">
        <v>388864</v>
      </c>
      <c r="D5" s="516" t="s">
        <v>310</v>
      </c>
      <c r="E5" s="517">
        <v>7.18</v>
      </c>
      <c r="F5" s="298">
        <v>2</v>
      </c>
      <c r="G5" s="299">
        <v>0</v>
      </c>
      <c r="H5" s="299">
        <v>2</v>
      </c>
      <c r="I5" s="299">
        <v>0</v>
      </c>
      <c r="J5" s="299">
        <v>0</v>
      </c>
      <c r="K5" s="299">
        <v>1</v>
      </c>
    </row>
    <row r="6" spans="1:11" x14ac:dyDescent="0.35">
      <c r="A6" s="472"/>
      <c r="B6" s="513"/>
      <c r="C6" s="515"/>
      <c r="D6" s="508"/>
      <c r="E6" s="471"/>
      <c r="F6" s="300">
        <f>F5*$E$5</f>
        <v>14.36</v>
      </c>
      <c r="G6" s="301">
        <f>G5*$E$5</f>
        <v>0</v>
      </c>
      <c r="H6" s="301">
        <f>H5*$E$5</f>
        <v>14.36</v>
      </c>
      <c r="I6" s="301">
        <f>I5*$E$5</f>
        <v>0</v>
      </c>
      <c r="J6" s="301">
        <f t="shared" ref="J6:K6" si="0">J5*$E$5</f>
        <v>0</v>
      </c>
      <c r="K6" s="301">
        <f t="shared" si="0"/>
        <v>7.18</v>
      </c>
    </row>
    <row r="7" spans="1:11" x14ac:dyDescent="0.35">
      <c r="A7" s="481">
        <v>2</v>
      </c>
      <c r="B7" s="498" t="s">
        <v>307</v>
      </c>
      <c r="C7" s="499">
        <v>299605</v>
      </c>
      <c r="D7" s="500" t="s">
        <v>327</v>
      </c>
      <c r="E7" s="471">
        <v>7.7</v>
      </c>
      <c r="F7" s="302">
        <f>200/5</f>
        <v>40</v>
      </c>
      <c r="G7" s="303">
        <v>3</v>
      </c>
      <c r="H7" s="303">
        <v>5</v>
      </c>
      <c r="I7" s="303">
        <v>3</v>
      </c>
      <c r="J7" s="303">
        <v>5</v>
      </c>
      <c r="K7" s="303">
        <v>3</v>
      </c>
    </row>
    <row r="8" spans="1:11" x14ac:dyDescent="0.35">
      <c r="A8" s="481"/>
      <c r="B8" s="498"/>
      <c r="C8" s="499"/>
      <c r="D8" s="500"/>
      <c r="E8" s="471"/>
      <c r="F8" s="304">
        <f>F7*$E$7</f>
        <v>308</v>
      </c>
      <c r="G8" s="305">
        <f t="shared" ref="G8:K8" si="1">G7*$E$7</f>
        <v>23.1</v>
      </c>
      <c r="H8" s="305">
        <f t="shared" si="1"/>
        <v>38.5</v>
      </c>
      <c r="I8" s="305">
        <f t="shared" si="1"/>
        <v>23.1</v>
      </c>
      <c r="J8" s="305">
        <f t="shared" si="1"/>
        <v>38.5</v>
      </c>
      <c r="K8" s="305">
        <f t="shared" si="1"/>
        <v>23.1</v>
      </c>
    </row>
    <row r="9" spans="1:11" x14ac:dyDescent="0.35">
      <c r="A9" s="472">
        <v>3</v>
      </c>
      <c r="B9" s="513" t="s">
        <v>309</v>
      </c>
      <c r="C9" s="509">
        <v>390766</v>
      </c>
      <c r="D9" s="508" t="s">
        <v>310</v>
      </c>
      <c r="E9" s="471">
        <v>8.1999999999999993</v>
      </c>
      <c r="F9" s="306">
        <v>50</v>
      </c>
      <c r="G9" s="307">
        <v>5</v>
      </c>
      <c r="H9" s="307">
        <v>10</v>
      </c>
      <c r="I9" s="307">
        <v>5</v>
      </c>
      <c r="J9" s="307">
        <v>10</v>
      </c>
      <c r="K9" s="307">
        <v>5</v>
      </c>
    </row>
    <row r="10" spans="1:11" x14ac:dyDescent="0.35">
      <c r="A10" s="472"/>
      <c r="B10" s="513"/>
      <c r="C10" s="509"/>
      <c r="D10" s="508"/>
      <c r="E10" s="471"/>
      <c r="F10" s="300">
        <f>F9*$E$9</f>
        <v>410</v>
      </c>
      <c r="G10" s="301">
        <f>G9*$E$9</f>
        <v>41</v>
      </c>
      <c r="H10" s="301">
        <f>H9*$E$9</f>
        <v>82</v>
      </c>
      <c r="I10" s="301">
        <f>I9*$E$9</f>
        <v>41</v>
      </c>
      <c r="J10" s="301">
        <f t="shared" ref="J10:K10" si="2">J9*$E$9</f>
        <v>82</v>
      </c>
      <c r="K10" s="301">
        <f t="shared" si="2"/>
        <v>41</v>
      </c>
    </row>
    <row r="11" spans="1:11" s="310" customFormat="1" x14ac:dyDescent="0.35">
      <c r="A11" s="518">
        <v>4</v>
      </c>
      <c r="B11" s="519" t="s">
        <v>344</v>
      </c>
      <c r="C11" s="520"/>
      <c r="D11" s="500" t="s">
        <v>310</v>
      </c>
      <c r="E11" s="471"/>
      <c r="F11" s="308"/>
      <c r="G11" s="309"/>
      <c r="H11" s="309"/>
      <c r="I11" s="309"/>
      <c r="J11" s="309"/>
      <c r="K11" s="309"/>
    </row>
    <row r="12" spans="1:11" s="310" customFormat="1" x14ac:dyDescent="0.35">
      <c r="A12" s="518"/>
      <c r="B12" s="519"/>
      <c r="C12" s="520"/>
      <c r="D12" s="500"/>
      <c r="E12" s="471"/>
      <c r="F12" s="311">
        <f>F11*$E$11</f>
        <v>0</v>
      </c>
      <c r="G12" s="312">
        <f>G11*$E$11</f>
        <v>0</v>
      </c>
      <c r="H12" s="312">
        <f>H11*$E$11</f>
        <v>0</v>
      </c>
      <c r="I12" s="312">
        <f>I11*$E$11</f>
        <v>0</v>
      </c>
      <c r="J12" s="312">
        <f t="shared" ref="J12:K12" si="3">J11*$E$11</f>
        <v>0</v>
      </c>
      <c r="K12" s="312">
        <f t="shared" si="3"/>
        <v>0</v>
      </c>
    </row>
    <row r="13" spans="1:11" s="310" customFormat="1" x14ac:dyDescent="0.35">
      <c r="A13" s="507">
        <v>5</v>
      </c>
      <c r="B13" s="474" t="s">
        <v>345</v>
      </c>
      <c r="C13" s="476">
        <v>292586</v>
      </c>
      <c r="D13" s="508" t="s">
        <v>327</v>
      </c>
      <c r="E13" s="471">
        <v>21.81</v>
      </c>
      <c r="F13" s="313">
        <v>5</v>
      </c>
      <c r="G13" s="314"/>
      <c r="H13" s="314"/>
      <c r="I13" s="314"/>
      <c r="J13" s="314"/>
      <c r="K13" s="314"/>
    </row>
    <row r="14" spans="1:11" s="310" customFormat="1" x14ac:dyDescent="0.35">
      <c r="A14" s="507"/>
      <c r="B14" s="474"/>
      <c r="C14" s="476"/>
      <c r="D14" s="508"/>
      <c r="E14" s="471"/>
      <c r="F14" s="315">
        <f>F13*$E$13</f>
        <v>109.05</v>
      </c>
      <c r="G14" s="316">
        <f>G13*$E$13</f>
        <v>0</v>
      </c>
      <c r="H14" s="316">
        <f>H13*$E$13</f>
        <v>0</v>
      </c>
      <c r="I14" s="316">
        <f>I13*$E$13</f>
        <v>0</v>
      </c>
      <c r="J14" s="316">
        <f t="shared" ref="J14:K14" si="4">J13*$E$13</f>
        <v>0</v>
      </c>
      <c r="K14" s="316">
        <f t="shared" si="4"/>
        <v>0</v>
      </c>
    </row>
    <row r="15" spans="1:11" s="310" customFormat="1" x14ac:dyDescent="0.35">
      <c r="A15" s="518">
        <v>6</v>
      </c>
      <c r="B15" s="519" t="s">
        <v>346</v>
      </c>
      <c r="C15" s="520"/>
      <c r="D15" s="500" t="s">
        <v>310</v>
      </c>
      <c r="E15" s="471"/>
      <c r="F15" s="308"/>
      <c r="G15" s="309"/>
      <c r="H15" s="309"/>
      <c r="I15" s="309"/>
      <c r="J15" s="309"/>
      <c r="K15" s="309"/>
    </row>
    <row r="16" spans="1:11" s="310" customFormat="1" x14ac:dyDescent="0.35">
      <c r="A16" s="518"/>
      <c r="B16" s="519"/>
      <c r="C16" s="520"/>
      <c r="D16" s="500"/>
      <c r="E16" s="471"/>
      <c r="F16" s="311">
        <f>F15*$E$15</f>
        <v>0</v>
      </c>
      <c r="G16" s="312">
        <f>G15*$E$15</f>
        <v>0</v>
      </c>
      <c r="H16" s="312">
        <f>H15*$E$15</f>
        <v>0</v>
      </c>
      <c r="I16" s="312">
        <f>I15*$E$15</f>
        <v>0</v>
      </c>
      <c r="J16" s="312">
        <f t="shared" ref="J16:K16" si="5">J15*$E$15</f>
        <v>0</v>
      </c>
      <c r="K16" s="312">
        <f t="shared" si="5"/>
        <v>0</v>
      </c>
    </row>
    <row r="17" spans="1:16" x14ac:dyDescent="0.35">
      <c r="A17" s="507">
        <v>7</v>
      </c>
      <c r="B17" s="474" t="s">
        <v>312</v>
      </c>
      <c r="C17" s="476">
        <v>381409</v>
      </c>
      <c r="D17" s="478" t="s">
        <v>310</v>
      </c>
      <c r="E17" s="471">
        <v>14.47</v>
      </c>
      <c r="F17" s="313">
        <v>70</v>
      </c>
      <c r="G17" s="314">
        <v>15</v>
      </c>
      <c r="H17" s="314">
        <v>60</v>
      </c>
      <c r="I17" s="314">
        <v>10</v>
      </c>
      <c r="J17" s="314">
        <v>15</v>
      </c>
      <c r="K17" s="314">
        <v>10</v>
      </c>
      <c r="L17" s="317"/>
      <c r="M17" s="317"/>
      <c r="N17" s="317"/>
      <c r="O17" s="317"/>
      <c r="P17" s="317"/>
    </row>
    <row r="18" spans="1:16" x14ac:dyDescent="0.35">
      <c r="A18" s="507"/>
      <c r="B18" s="474"/>
      <c r="C18" s="476"/>
      <c r="D18" s="478"/>
      <c r="E18" s="471"/>
      <c r="F18" s="315">
        <f>F17*$E$29</f>
        <v>1484</v>
      </c>
      <c r="G18" s="316">
        <f>G17*$E$29</f>
        <v>318</v>
      </c>
      <c r="H18" s="316">
        <f>H17*$E$29</f>
        <v>1272</v>
      </c>
      <c r="I18" s="316">
        <f>I17*$E$29</f>
        <v>212</v>
      </c>
      <c r="J18" s="316">
        <f t="shared" ref="J18:K18" si="6">J17*$E$29</f>
        <v>318</v>
      </c>
      <c r="K18" s="316">
        <f t="shared" si="6"/>
        <v>212</v>
      </c>
      <c r="L18" s="317"/>
      <c r="M18" s="317"/>
      <c r="N18" s="317"/>
      <c r="O18" s="317"/>
      <c r="P18" s="317"/>
    </row>
    <row r="19" spans="1:16" x14ac:dyDescent="0.35">
      <c r="A19" s="481">
        <v>8</v>
      </c>
      <c r="B19" s="468" t="s">
        <v>313</v>
      </c>
      <c r="C19" s="499">
        <v>234737</v>
      </c>
      <c r="D19" s="500" t="s">
        <v>308</v>
      </c>
      <c r="E19" s="471">
        <v>1.22</v>
      </c>
      <c r="F19" s="302">
        <v>144</v>
      </c>
      <c r="G19" s="303">
        <v>20</v>
      </c>
      <c r="H19" s="303">
        <v>80</v>
      </c>
      <c r="I19" s="303">
        <v>15</v>
      </c>
      <c r="J19" s="303">
        <v>25</v>
      </c>
      <c r="K19" s="303">
        <v>15</v>
      </c>
      <c r="L19" s="317"/>
      <c r="M19" s="317"/>
      <c r="N19" s="317"/>
      <c r="O19" s="317"/>
      <c r="P19" s="317"/>
    </row>
    <row r="20" spans="1:16" x14ac:dyDescent="0.35">
      <c r="A20" s="481"/>
      <c r="B20" s="468"/>
      <c r="C20" s="499"/>
      <c r="D20" s="500"/>
      <c r="E20" s="471"/>
      <c r="F20" s="304">
        <f>F19*$E$31</f>
        <v>3052.8</v>
      </c>
      <c r="G20" s="305">
        <f>G19*$E$31</f>
        <v>424</v>
      </c>
      <c r="H20" s="305">
        <f>H19*$E$31</f>
        <v>1696</v>
      </c>
      <c r="I20" s="305">
        <f>I19*$E$31</f>
        <v>318</v>
      </c>
      <c r="J20" s="305">
        <f t="shared" ref="J20:K20" si="7">J19*$E$31</f>
        <v>530</v>
      </c>
      <c r="K20" s="305">
        <f t="shared" si="7"/>
        <v>318</v>
      </c>
      <c r="L20" s="317"/>
      <c r="M20" s="317"/>
      <c r="N20" s="317"/>
      <c r="O20" s="317"/>
      <c r="P20" s="317"/>
    </row>
    <row r="21" spans="1:16" x14ac:dyDescent="0.35">
      <c r="A21" s="472">
        <v>9</v>
      </c>
      <c r="B21" s="521" t="s">
        <v>329</v>
      </c>
      <c r="C21" s="476">
        <v>326030</v>
      </c>
      <c r="D21" s="508" t="s">
        <v>308</v>
      </c>
      <c r="E21" s="471">
        <v>2.83</v>
      </c>
      <c r="F21" s="318">
        <v>45</v>
      </c>
      <c r="G21" s="319">
        <v>5</v>
      </c>
      <c r="H21" s="319">
        <v>20</v>
      </c>
      <c r="I21" s="319">
        <v>15</v>
      </c>
      <c r="J21" s="319">
        <v>15</v>
      </c>
      <c r="K21" s="319">
        <v>10</v>
      </c>
      <c r="L21" s="317"/>
      <c r="M21" s="317"/>
      <c r="N21" s="317"/>
      <c r="O21" s="317"/>
      <c r="P21" s="317"/>
    </row>
    <row r="22" spans="1:16" x14ac:dyDescent="0.35">
      <c r="A22" s="472"/>
      <c r="B22" s="521"/>
      <c r="C22" s="476"/>
      <c r="D22" s="508"/>
      <c r="E22" s="471"/>
      <c r="F22" s="300">
        <f>F21*$E$33</f>
        <v>954</v>
      </c>
      <c r="G22" s="301">
        <f t="shared" ref="G22:K22" si="8">G21*$E$33</f>
        <v>106</v>
      </c>
      <c r="H22" s="301">
        <f t="shared" si="8"/>
        <v>424</v>
      </c>
      <c r="I22" s="301">
        <f t="shared" si="8"/>
        <v>318</v>
      </c>
      <c r="J22" s="301">
        <f t="shared" si="8"/>
        <v>318</v>
      </c>
      <c r="K22" s="301">
        <f t="shared" si="8"/>
        <v>212</v>
      </c>
      <c r="L22" s="317"/>
      <c r="M22" s="317"/>
      <c r="N22" s="317"/>
      <c r="O22" s="317"/>
      <c r="P22" s="317"/>
    </row>
    <row r="23" spans="1:16" x14ac:dyDescent="0.35">
      <c r="A23" s="481">
        <v>10</v>
      </c>
      <c r="B23" s="468" t="s">
        <v>347</v>
      </c>
      <c r="C23" s="499">
        <v>327150</v>
      </c>
      <c r="D23" s="500" t="s">
        <v>311</v>
      </c>
      <c r="E23" s="471">
        <v>8.94</v>
      </c>
      <c r="F23" s="302">
        <v>8</v>
      </c>
      <c r="G23" s="303">
        <v>2</v>
      </c>
      <c r="H23" s="303">
        <v>10</v>
      </c>
      <c r="I23" s="303">
        <v>2</v>
      </c>
      <c r="J23" s="303">
        <v>10</v>
      </c>
      <c r="K23" s="303">
        <v>5</v>
      </c>
      <c r="L23" s="317"/>
      <c r="M23" s="317"/>
      <c r="N23" s="317"/>
      <c r="O23" s="317"/>
      <c r="P23" s="317"/>
    </row>
    <row r="24" spans="1:16" x14ac:dyDescent="0.35">
      <c r="A24" s="481"/>
      <c r="B24" s="468"/>
      <c r="C24" s="499"/>
      <c r="D24" s="500"/>
      <c r="E24" s="471"/>
      <c r="F24" s="304">
        <f>F23*$E$35</f>
        <v>169.6</v>
      </c>
      <c r="G24" s="305">
        <f>G23*$E$35</f>
        <v>42.4</v>
      </c>
      <c r="H24" s="305">
        <f>H23*$E$35</f>
        <v>212</v>
      </c>
      <c r="I24" s="305">
        <f>I23*$E$35</f>
        <v>42.4</v>
      </c>
      <c r="J24" s="305">
        <f t="shared" ref="J24:K24" si="9">J23*$E$35</f>
        <v>212</v>
      </c>
      <c r="K24" s="305">
        <f t="shared" si="9"/>
        <v>106</v>
      </c>
      <c r="L24" s="317"/>
      <c r="M24" s="317"/>
      <c r="N24" s="317"/>
      <c r="O24" s="317"/>
      <c r="P24" s="317"/>
    </row>
    <row r="25" spans="1:16" x14ac:dyDescent="0.35">
      <c r="A25" s="472">
        <v>11</v>
      </c>
      <c r="B25" s="474" t="s">
        <v>314</v>
      </c>
      <c r="C25" s="509">
        <v>226698</v>
      </c>
      <c r="D25" s="508" t="s">
        <v>327</v>
      </c>
      <c r="E25" s="471">
        <v>13.72</v>
      </c>
      <c r="F25" s="306">
        <f>50/5</f>
        <v>10</v>
      </c>
      <c r="G25" s="307">
        <v>15</v>
      </c>
      <c r="H25" s="307">
        <v>4</v>
      </c>
      <c r="I25" s="307">
        <v>1</v>
      </c>
      <c r="J25" s="307">
        <v>1</v>
      </c>
      <c r="K25" s="307">
        <v>5</v>
      </c>
      <c r="L25" s="317"/>
      <c r="M25" s="317"/>
      <c r="N25" s="317"/>
      <c r="O25" s="317"/>
      <c r="P25" s="317"/>
    </row>
    <row r="26" spans="1:16" x14ac:dyDescent="0.35">
      <c r="A26" s="472"/>
      <c r="B26" s="474"/>
      <c r="C26" s="509"/>
      <c r="D26" s="508"/>
      <c r="E26" s="471"/>
      <c r="F26" s="300">
        <f>F25*$E$37</f>
        <v>212</v>
      </c>
      <c r="G26" s="301">
        <f>G25*$E$37</f>
        <v>318</v>
      </c>
      <c r="H26" s="301">
        <f>H25*$E$37</f>
        <v>84.8</v>
      </c>
      <c r="I26" s="301">
        <f>I25*$E$37</f>
        <v>21.2</v>
      </c>
      <c r="J26" s="301">
        <f t="shared" ref="J26:K26" si="10">J25*$E$37</f>
        <v>21.2</v>
      </c>
      <c r="K26" s="301">
        <f t="shared" si="10"/>
        <v>106</v>
      </c>
      <c r="L26" s="317"/>
      <c r="M26" s="317"/>
      <c r="N26" s="317"/>
      <c r="O26" s="317"/>
      <c r="P26" s="317"/>
    </row>
    <row r="27" spans="1:16" x14ac:dyDescent="0.35">
      <c r="A27" s="481">
        <v>12</v>
      </c>
      <c r="B27" s="498" t="s">
        <v>348</v>
      </c>
      <c r="C27" s="499">
        <v>419326</v>
      </c>
      <c r="D27" s="500" t="s">
        <v>308</v>
      </c>
      <c r="E27" s="471">
        <v>0.69</v>
      </c>
      <c r="F27" s="302">
        <v>20</v>
      </c>
      <c r="G27" s="303">
        <v>10</v>
      </c>
      <c r="H27" s="303">
        <v>20</v>
      </c>
      <c r="I27" s="303">
        <v>3</v>
      </c>
      <c r="J27" s="303">
        <v>15</v>
      </c>
      <c r="K27" s="303">
        <v>8</v>
      </c>
      <c r="L27" s="317"/>
      <c r="M27" s="317"/>
      <c r="N27" s="317"/>
      <c r="O27" s="317"/>
      <c r="P27" s="317"/>
    </row>
    <row r="28" spans="1:16" x14ac:dyDescent="0.35">
      <c r="A28" s="481"/>
      <c r="B28" s="498"/>
      <c r="C28" s="499"/>
      <c r="D28" s="500"/>
      <c r="E28" s="471"/>
      <c r="F28" s="304">
        <f>F27*$E$27</f>
        <v>13.8</v>
      </c>
      <c r="G28" s="304">
        <f t="shared" ref="G28:K28" si="11">G27*$E$27</f>
        <v>6.9</v>
      </c>
      <c r="H28" s="304">
        <f t="shared" si="11"/>
        <v>13.8</v>
      </c>
      <c r="I28" s="304">
        <f t="shared" si="11"/>
        <v>2.0699999999999998</v>
      </c>
      <c r="J28" s="304">
        <f t="shared" si="11"/>
        <v>10.35</v>
      </c>
      <c r="K28" s="304">
        <f t="shared" si="11"/>
        <v>5.52</v>
      </c>
      <c r="L28" s="317"/>
      <c r="M28" s="317"/>
      <c r="N28" s="317"/>
      <c r="O28" s="317"/>
      <c r="P28" s="317"/>
    </row>
    <row r="29" spans="1:16" x14ac:dyDescent="0.35">
      <c r="A29" s="507" t="s">
        <v>451</v>
      </c>
      <c r="B29" s="474" t="s">
        <v>457</v>
      </c>
      <c r="C29" s="476">
        <v>397489</v>
      </c>
      <c r="D29" s="508" t="s">
        <v>308</v>
      </c>
      <c r="E29" s="471">
        <v>21.2</v>
      </c>
      <c r="F29" s="313">
        <v>2</v>
      </c>
      <c r="G29" s="314">
        <v>0</v>
      </c>
      <c r="H29" s="314">
        <v>0</v>
      </c>
      <c r="I29" s="314">
        <v>0</v>
      </c>
      <c r="J29" s="314">
        <v>1</v>
      </c>
      <c r="K29" s="314">
        <v>0</v>
      </c>
      <c r="L29" s="317"/>
      <c r="M29" s="317"/>
      <c r="N29" s="317"/>
      <c r="O29" s="317"/>
      <c r="P29" s="317"/>
    </row>
    <row r="30" spans="1:16" x14ac:dyDescent="0.35">
      <c r="A30" s="507"/>
      <c r="B30" s="474"/>
      <c r="C30" s="476"/>
      <c r="D30" s="508"/>
      <c r="E30" s="471"/>
      <c r="F30" s="315">
        <f>F29*$E$29</f>
        <v>42.4</v>
      </c>
      <c r="G30" s="316">
        <f>G29*$E$29</f>
        <v>0</v>
      </c>
      <c r="H30" s="316">
        <f>H29*$E$29</f>
        <v>0</v>
      </c>
      <c r="I30" s="316">
        <f>I29*$E$29</f>
        <v>0</v>
      </c>
      <c r="J30" s="316">
        <f t="shared" ref="J30:K30" si="12">J29*$E$29</f>
        <v>21.2</v>
      </c>
      <c r="K30" s="316">
        <f t="shared" si="12"/>
        <v>0</v>
      </c>
    </row>
    <row r="31" spans="1:16" ht="15" customHeight="1" x14ac:dyDescent="0.35">
      <c r="A31" s="481" t="s">
        <v>452</v>
      </c>
      <c r="B31" s="522" t="s">
        <v>458</v>
      </c>
      <c r="C31" s="499">
        <v>397489</v>
      </c>
      <c r="D31" s="500" t="s">
        <v>308</v>
      </c>
      <c r="E31" s="471">
        <f>E29</f>
        <v>21.2</v>
      </c>
      <c r="F31" s="302">
        <v>2</v>
      </c>
      <c r="G31" s="303">
        <v>0</v>
      </c>
      <c r="H31" s="303">
        <v>0</v>
      </c>
      <c r="I31" s="303">
        <v>0</v>
      </c>
      <c r="J31" s="303">
        <v>0</v>
      </c>
      <c r="K31" s="303">
        <v>0</v>
      </c>
    </row>
    <row r="32" spans="1:16" x14ac:dyDescent="0.35">
      <c r="A32" s="481"/>
      <c r="B32" s="523"/>
      <c r="C32" s="499"/>
      <c r="D32" s="500"/>
      <c r="E32" s="471"/>
      <c r="F32" s="304">
        <f>F31*$E$31</f>
        <v>42.4</v>
      </c>
      <c r="G32" s="305">
        <f>G31*$E$31</f>
        <v>0</v>
      </c>
      <c r="H32" s="305">
        <f>H31*$E$31</f>
        <v>0</v>
      </c>
      <c r="I32" s="305">
        <f>I31*$E$31</f>
        <v>0</v>
      </c>
      <c r="J32" s="305">
        <f t="shared" ref="J32:K32" si="13">J31*$E$31</f>
        <v>0</v>
      </c>
      <c r="K32" s="305">
        <f t="shared" si="13"/>
        <v>0</v>
      </c>
    </row>
    <row r="33" spans="1:11" x14ac:dyDescent="0.35">
      <c r="A33" s="472" t="s">
        <v>453</v>
      </c>
      <c r="B33" s="521" t="s">
        <v>459</v>
      </c>
      <c r="C33" s="476">
        <v>397489</v>
      </c>
      <c r="D33" s="508" t="s">
        <v>308</v>
      </c>
      <c r="E33" s="471">
        <f>E31</f>
        <v>21.2</v>
      </c>
      <c r="F33" s="318">
        <v>2</v>
      </c>
      <c r="G33" s="319">
        <v>0</v>
      </c>
      <c r="H33" s="319">
        <v>0</v>
      </c>
      <c r="I33" s="319">
        <v>0</v>
      </c>
      <c r="J33" s="319">
        <v>0</v>
      </c>
      <c r="K33" s="319">
        <v>0</v>
      </c>
    </row>
    <row r="34" spans="1:11" x14ac:dyDescent="0.35">
      <c r="A34" s="472"/>
      <c r="B34" s="521"/>
      <c r="C34" s="476"/>
      <c r="D34" s="508"/>
      <c r="E34" s="471"/>
      <c r="F34" s="300">
        <f>F33*$E$33</f>
        <v>42.4</v>
      </c>
      <c r="G34" s="301">
        <f t="shared" ref="G34:K34" si="14">G33*$E$33</f>
        <v>0</v>
      </c>
      <c r="H34" s="301">
        <f t="shared" si="14"/>
        <v>0</v>
      </c>
      <c r="I34" s="301">
        <f t="shared" si="14"/>
        <v>0</v>
      </c>
      <c r="J34" s="301">
        <f t="shared" si="14"/>
        <v>0</v>
      </c>
      <c r="K34" s="301">
        <f t="shared" si="14"/>
        <v>0</v>
      </c>
    </row>
    <row r="35" spans="1:11" x14ac:dyDescent="0.35">
      <c r="A35" s="481" t="s">
        <v>454</v>
      </c>
      <c r="B35" s="468" t="s">
        <v>460</v>
      </c>
      <c r="C35" s="482">
        <v>397489</v>
      </c>
      <c r="D35" s="500" t="s">
        <v>308</v>
      </c>
      <c r="E35" s="471">
        <f>E33</f>
        <v>21.2</v>
      </c>
      <c r="F35" s="302">
        <v>2</v>
      </c>
      <c r="G35" s="303">
        <v>0</v>
      </c>
      <c r="H35" s="303">
        <v>0</v>
      </c>
      <c r="I35" s="303">
        <v>0</v>
      </c>
      <c r="J35" s="303">
        <v>0</v>
      </c>
      <c r="K35" s="303">
        <v>0</v>
      </c>
    </row>
    <row r="36" spans="1:11" x14ac:dyDescent="0.35">
      <c r="A36" s="481"/>
      <c r="B36" s="468"/>
      <c r="C36" s="482"/>
      <c r="D36" s="500"/>
      <c r="E36" s="471"/>
      <c r="F36" s="304">
        <f>F35*$E$35</f>
        <v>42.4</v>
      </c>
      <c r="G36" s="305">
        <f>G35*$E$35</f>
        <v>0</v>
      </c>
      <c r="H36" s="305">
        <f>H35*$E$35</f>
        <v>0</v>
      </c>
      <c r="I36" s="305">
        <f>I35*$E$35</f>
        <v>0</v>
      </c>
      <c r="J36" s="305">
        <f t="shared" ref="J36:K36" si="15">J35*$E$35</f>
        <v>0</v>
      </c>
      <c r="K36" s="305">
        <f t="shared" si="15"/>
        <v>0</v>
      </c>
    </row>
    <row r="37" spans="1:11" x14ac:dyDescent="0.35">
      <c r="A37" s="472" t="s">
        <v>455</v>
      </c>
      <c r="B37" s="474" t="s">
        <v>461</v>
      </c>
      <c r="C37" s="509">
        <v>397489</v>
      </c>
      <c r="D37" s="508" t="s">
        <v>308</v>
      </c>
      <c r="E37" s="471">
        <f>E35</f>
        <v>21.2</v>
      </c>
      <c r="F37" s="306">
        <v>2</v>
      </c>
      <c r="G37" s="307">
        <v>0</v>
      </c>
      <c r="H37" s="307">
        <v>0</v>
      </c>
      <c r="I37" s="307">
        <v>0</v>
      </c>
      <c r="J37" s="307">
        <v>0</v>
      </c>
      <c r="K37" s="307">
        <v>0</v>
      </c>
    </row>
    <row r="38" spans="1:11" x14ac:dyDescent="0.35">
      <c r="A38" s="472"/>
      <c r="B38" s="474"/>
      <c r="C38" s="509"/>
      <c r="D38" s="508"/>
      <c r="E38" s="471"/>
      <c r="F38" s="300">
        <f>F37*$E$37</f>
        <v>42.4</v>
      </c>
      <c r="G38" s="301">
        <f>G37*$E$37</f>
        <v>0</v>
      </c>
      <c r="H38" s="301">
        <f>H37*$E$37</f>
        <v>0</v>
      </c>
      <c r="I38" s="301">
        <f>I37*$E$37</f>
        <v>0</v>
      </c>
      <c r="J38" s="301">
        <f t="shared" ref="J38:K38" si="16">J37*$E$37</f>
        <v>0</v>
      </c>
      <c r="K38" s="301">
        <f t="shared" si="16"/>
        <v>0</v>
      </c>
    </row>
    <row r="39" spans="1:11" x14ac:dyDescent="0.35">
      <c r="A39" s="481" t="s">
        <v>456</v>
      </c>
      <c r="B39" s="498" t="s">
        <v>462</v>
      </c>
      <c r="C39" s="499">
        <v>397489</v>
      </c>
      <c r="D39" s="500" t="s">
        <v>308</v>
      </c>
      <c r="E39" s="471">
        <f>E37</f>
        <v>21.2</v>
      </c>
      <c r="F39" s="302">
        <v>2</v>
      </c>
      <c r="G39" s="303">
        <v>0</v>
      </c>
      <c r="H39" s="303">
        <v>0</v>
      </c>
      <c r="I39" s="303">
        <v>0</v>
      </c>
      <c r="J39" s="303">
        <v>0</v>
      </c>
      <c r="K39" s="303">
        <v>0</v>
      </c>
    </row>
    <row r="40" spans="1:11" x14ac:dyDescent="0.35">
      <c r="A40" s="481"/>
      <c r="B40" s="498"/>
      <c r="C40" s="499"/>
      <c r="D40" s="500"/>
      <c r="E40" s="471"/>
      <c r="F40" s="304">
        <f t="shared" ref="F40:K40" si="17">F39*$E$39</f>
        <v>42.4</v>
      </c>
      <c r="G40" s="305">
        <f t="shared" si="17"/>
        <v>0</v>
      </c>
      <c r="H40" s="305">
        <f t="shared" si="17"/>
        <v>0</v>
      </c>
      <c r="I40" s="305">
        <f t="shared" si="17"/>
        <v>0</v>
      </c>
      <c r="J40" s="305">
        <f t="shared" si="17"/>
        <v>0</v>
      </c>
      <c r="K40" s="305">
        <f t="shared" si="17"/>
        <v>0</v>
      </c>
    </row>
    <row r="41" spans="1:11" x14ac:dyDescent="0.35">
      <c r="A41" s="472">
        <v>13</v>
      </c>
      <c r="B41" s="474" t="s">
        <v>384</v>
      </c>
      <c r="C41" s="509">
        <v>225907</v>
      </c>
      <c r="D41" s="508" t="s">
        <v>321</v>
      </c>
      <c r="E41" s="471">
        <v>1.45</v>
      </c>
      <c r="F41" s="306">
        <v>6</v>
      </c>
      <c r="G41" s="307">
        <v>3</v>
      </c>
      <c r="H41" s="307">
        <v>3</v>
      </c>
      <c r="I41" s="307">
        <v>2</v>
      </c>
      <c r="J41" s="307">
        <v>2</v>
      </c>
      <c r="K41" s="307">
        <v>2</v>
      </c>
    </row>
    <row r="42" spans="1:11" x14ac:dyDescent="0.35">
      <c r="A42" s="472"/>
      <c r="B42" s="474"/>
      <c r="C42" s="509"/>
      <c r="D42" s="508"/>
      <c r="E42" s="471"/>
      <c r="F42" s="300">
        <f>F41*$E$41</f>
        <v>8.6999999999999993</v>
      </c>
      <c r="G42" s="301">
        <f>G41*$E$41</f>
        <v>4.3499999999999996</v>
      </c>
      <c r="H42" s="301">
        <f>H41*$E$41</f>
        <v>4.3499999999999996</v>
      </c>
      <c r="I42" s="301">
        <f>I41*$E$41</f>
        <v>2.9</v>
      </c>
      <c r="J42" s="301">
        <f t="shared" ref="J42:K42" si="18">J41*$E$41</f>
        <v>2.9</v>
      </c>
      <c r="K42" s="301">
        <f t="shared" si="18"/>
        <v>2.9</v>
      </c>
    </row>
    <row r="43" spans="1:11" x14ac:dyDescent="0.35">
      <c r="A43" s="518">
        <v>14</v>
      </c>
      <c r="B43" s="468" t="s">
        <v>385</v>
      </c>
      <c r="C43" s="482">
        <v>277505</v>
      </c>
      <c r="D43" s="470" t="s">
        <v>321</v>
      </c>
      <c r="E43" s="471">
        <v>5.51</v>
      </c>
      <c r="F43" s="308">
        <v>2</v>
      </c>
      <c r="G43" s="309">
        <v>2</v>
      </c>
      <c r="H43" s="309">
        <v>0</v>
      </c>
      <c r="I43" s="309">
        <v>0</v>
      </c>
      <c r="J43" s="309">
        <v>2</v>
      </c>
      <c r="K43" s="309">
        <v>0</v>
      </c>
    </row>
    <row r="44" spans="1:11" x14ac:dyDescent="0.35">
      <c r="A44" s="518"/>
      <c r="B44" s="468"/>
      <c r="C44" s="482"/>
      <c r="D44" s="470"/>
      <c r="E44" s="471"/>
      <c r="F44" s="311">
        <f>F43*$E$43</f>
        <v>11.02</v>
      </c>
      <c r="G44" s="312">
        <f t="shared" ref="G44:K44" si="19">G43*$E$43</f>
        <v>11.02</v>
      </c>
      <c r="H44" s="312">
        <f t="shared" si="19"/>
        <v>0</v>
      </c>
      <c r="I44" s="312">
        <f t="shared" si="19"/>
        <v>0</v>
      </c>
      <c r="J44" s="312">
        <f t="shared" si="19"/>
        <v>11.02</v>
      </c>
      <c r="K44" s="312">
        <f t="shared" si="19"/>
        <v>0</v>
      </c>
    </row>
    <row r="45" spans="1:11" x14ac:dyDescent="0.35">
      <c r="A45" s="472">
        <v>15</v>
      </c>
      <c r="B45" s="513" t="s">
        <v>315</v>
      </c>
      <c r="C45" s="509">
        <v>420505</v>
      </c>
      <c r="D45" s="508" t="s">
        <v>308</v>
      </c>
      <c r="E45" s="471">
        <v>1.93</v>
      </c>
      <c r="F45" s="306">
        <v>20</v>
      </c>
      <c r="G45" s="307">
        <v>15</v>
      </c>
      <c r="H45" s="307">
        <v>20</v>
      </c>
      <c r="I45" s="307">
        <v>10</v>
      </c>
      <c r="J45" s="307">
        <v>5</v>
      </c>
      <c r="K45" s="307">
        <v>12</v>
      </c>
    </row>
    <row r="46" spans="1:11" x14ac:dyDescent="0.35">
      <c r="A46" s="472"/>
      <c r="B46" s="513"/>
      <c r="C46" s="509"/>
      <c r="D46" s="508"/>
      <c r="E46" s="471"/>
      <c r="F46" s="300">
        <f>F45*$E$45</f>
        <v>38.6</v>
      </c>
      <c r="G46" s="301">
        <f>G45*$E$45</f>
        <v>28.95</v>
      </c>
      <c r="H46" s="301">
        <f>H45*$E$45</f>
        <v>38.6</v>
      </c>
      <c r="I46" s="301">
        <f>I45*$E$45</f>
        <v>19.3</v>
      </c>
      <c r="J46" s="301">
        <f t="shared" ref="J46:K46" si="20">J45*$E$45</f>
        <v>9.65</v>
      </c>
      <c r="K46" s="301">
        <f t="shared" si="20"/>
        <v>23.16</v>
      </c>
    </row>
    <row r="47" spans="1:11" x14ac:dyDescent="0.35">
      <c r="A47" s="481">
        <v>16</v>
      </c>
      <c r="B47" s="498" t="s">
        <v>317</v>
      </c>
      <c r="C47" s="499">
        <v>3646</v>
      </c>
      <c r="D47" s="500" t="s">
        <v>308</v>
      </c>
      <c r="E47" s="471">
        <v>10.96</v>
      </c>
      <c r="F47" s="302">
        <v>5</v>
      </c>
      <c r="G47" s="303">
        <v>2</v>
      </c>
      <c r="H47" s="303">
        <v>4</v>
      </c>
      <c r="I47" s="303">
        <v>2</v>
      </c>
      <c r="J47" s="303">
        <v>5</v>
      </c>
      <c r="K47" s="303">
        <v>2</v>
      </c>
    </row>
    <row r="48" spans="1:11" x14ac:dyDescent="0.35">
      <c r="A48" s="481"/>
      <c r="B48" s="498"/>
      <c r="C48" s="499"/>
      <c r="D48" s="500"/>
      <c r="E48" s="471"/>
      <c r="F48" s="304">
        <f t="shared" ref="F48:K48" si="21">F47*$E$47</f>
        <v>54.8</v>
      </c>
      <c r="G48" s="305">
        <f t="shared" si="21"/>
        <v>21.92</v>
      </c>
      <c r="H48" s="305">
        <f t="shared" si="21"/>
        <v>43.84</v>
      </c>
      <c r="I48" s="305">
        <f t="shared" si="21"/>
        <v>21.92</v>
      </c>
      <c r="J48" s="305">
        <f t="shared" si="21"/>
        <v>54.8</v>
      </c>
      <c r="K48" s="305">
        <f t="shared" si="21"/>
        <v>21.92</v>
      </c>
    </row>
    <row r="49" spans="1:11" x14ac:dyDescent="0.35">
      <c r="A49" s="472">
        <v>17</v>
      </c>
      <c r="B49" s="513" t="s">
        <v>349</v>
      </c>
      <c r="C49" s="509">
        <v>242252</v>
      </c>
      <c r="D49" s="508" t="s">
        <v>311</v>
      </c>
      <c r="E49" s="471">
        <v>3.43</v>
      </c>
      <c r="F49" s="306">
        <v>5</v>
      </c>
      <c r="G49" s="307">
        <v>5</v>
      </c>
      <c r="H49" s="307">
        <v>1</v>
      </c>
      <c r="I49" s="307">
        <v>1</v>
      </c>
      <c r="J49" s="307">
        <v>1</v>
      </c>
      <c r="K49" s="307">
        <v>1</v>
      </c>
    </row>
    <row r="50" spans="1:11" x14ac:dyDescent="0.35">
      <c r="A50" s="472"/>
      <c r="B50" s="513"/>
      <c r="C50" s="509"/>
      <c r="D50" s="508"/>
      <c r="E50" s="471"/>
      <c r="F50" s="300">
        <f t="shared" ref="F50:K50" si="22">F49*$E$49</f>
        <v>17.149999999999999</v>
      </c>
      <c r="G50" s="301">
        <f t="shared" si="22"/>
        <v>17.149999999999999</v>
      </c>
      <c r="H50" s="301">
        <f t="shared" si="22"/>
        <v>3.43</v>
      </c>
      <c r="I50" s="301">
        <f t="shared" si="22"/>
        <v>3.43</v>
      </c>
      <c r="J50" s="301">
        <f t="shared" si="22"/>
        <v>3.43</v>
      </c>
      <c r="K50" s="301">
        <f t="shared" si="22"/>
        <v>3.43</v>
      </c>
    </row>
    <row r="51" spans="1:11" x14ac:dyDescent="0.35">
      <c r="A51" s="481">
        <v>18</v>
      </c>
      <c r="B51" s="498" t="s">
        <v>316</v>
      </c>
      <c r="C51" s="499">
        <v>293351</v>
      </c>
      <c r="D51" s="500" t="s">
        <v>308</v>
      </c>
      <c r="E51" s="471">
        <v>2.62</v>
      </c>
      <c r="F51" s="302">
        <v>48</v>
      </c>
      <c r="G51" s="303">
        <v>3</v>
      </c>
      <c r="H51" s="303">
        <v>20</v>
      </c>
      <c r="I51" s="303">
        <v>5</v>
      </c>
      <c r="J51" s="303">
        <v>2</v>
      </c>
      <c r="K51" s="303">
        <v>5</v>
      </c>
    </row>
    <row r="52" spans="1:11" x14ac:dyDescent="0.35">
      <c r="A52" s="481"/>
      <c r="B52" s="498"/>
      <c r="C52" s="499"/>
      <c r="D52" s="500"/>
      <c r="E52" s="471"/>
      <c r="F52" s="304">
        <f t="shared" ref="F52:K52" si="23">F51*$E$51</f>
        <v>125.76</v>
      </c>
      <c r="G52" s="305">
        <f t="shared" si="23"/>
        <v>7.86</v>
      </c>
      <c r="H52" s="305">
        <f t="shared" si="23"/>
        <v>52.4</v>
      </c>
      <c r="I52" s="305">
        <f t="shared" si="23"/>
        <v>13.1</v>
      </c>
      <c r="J52" s="305">
        <f t="shared" si="23"/>
        <v>5.24</v>
      </c>
      <c r="K52" s="305">
        <f t="shared" si="23"/>
        <v>13.1</v>
      </c>
    </row>
    <row r="53" spans="1:11" x14ac:dyDescent="0.35">
      <c r="A53" s="472">
        <v>19</v>
      </c>
      <c r="B53" s="532" t="s">
        <v>351</v>
      </c>
      <c r="C53" s="533"/>
      <c r="D53" s="508"/>
      <c r="E53" s="471"/>
      <c r="F53" s="320"/>
      <c r="G53" s="321"/>
      <c r="H53" s="321"/>
      <c r="I53" s="321"/>
      <c r="J53" s="321"/>
      <c r="K53" s="321"/>
    </row>
    <row r="54" spans="1:11" x14ac:dyDescent="0.35">
      <c r="A54" s="472"/>
      <c r="B54" s="532"/>
      <c r="C54" s="533"/>
      <c r="D54" s="508"/>
      <c r="E54" s="471"/>
      <c r="F54" s="300">
        <f>F53*$E$53</f>
        <v>0</v>
      </c>
      <c r="G54" s="301">
        <f t="shared" ref="G54:K54" si="24">G53*$E$53</f>
        <v>0</v>
      </c>
      <c r="H54" s="301">
        <f t="shared" si="24"/>
        <v>0</v>
      </c>
      <c r="I54" s="301">
        <f t="shared" si="24"/>
        <v>0</v>
      </c>
      <c r="J54" s="301">
        <f t="shared" si="24"/>
        <v>0</v>
      </c>
      <c r="K54" s="301">
        <f t="shared" si="24"/>
        <v>0</v>
      </c>
    </row>
    <row r="55" spans="1:11" x14ac:dyDescent="0.35">
      <c r="A55" s="481">
        <v>20</v>
      </c>
      <c r="B55" s="498" t="s">
        <v>350</v>
      </c>
      <c r="C55" s="499">
        <v>226950</v>
      </c>
      <c r="D55" s="500" t="s">
        <v>311</v>
      </c>
      <c r="E55" s="471">
        <v>3.01</v>
      </c>
      <c r="F55" s="302">
        <v>20</v>
      </c>
      <c r="G55" s="303">
        <v>5</v>
      </c>
      <c r="H55" s="303">
        <v>15</v>
      </c>
      <c r="I55" s="303">
        <v>5</v>
      </c>
      <c r="J55" s="303">
        <v>10</v>
      </c>
      <c r="K55" s="303">
        <v>5</v>
      </c>
    </row>
    <row r="56" spans="1:11" x14ac:dyDescent="0.35">
      <c r="A56" s="481"/>
      <c r="B56" s="498"/>
      <c r="C56" s="499"/>
      <c r="D56" s="500"/>
      <c r="E56" s="471"/>
      <c r="F56" s="304">
        <f t="shared" ref="F56:K56" si="25">F55*$E$55</f>
        <v>60.2</v>
      </c>
      <c r="G56" s="305">
        <f t="shared" si="25"/>
        <v>15.05</v>
      </c>
      <c r="H56" s="305">
        <f t="shared" si="25"/>
        <v>45.15</v>
      </c>
      <c r="I56" s="305">
        <f t="shared" si="25"/>
        <v>15.05</v>
      </c>
      <c r="J56" s="305">
        <f t="shared" si="25"/>
        <v>30.1</v>
      </c>
      <c r="K56" s="305">
        <f t="shared" si="25"/>
        <v>15.05</v>
      </c>
    </row>
    <row r="57" spans="1:11" x14ac:dyDescent="0.35">
      <c r="A57" s="534">
        <v>21</v>
      </c>
      <c r="B57" s="535" t="s">
        <v>352</v>
      </c>
      <c r="C57" s="536" t="s">
        <v>463</v>
      </c>
      <c r="D57" s="537" t="s">
        <v>353</v>
      </c>
      <c r="E57" s="538"/>
      <c r="F57" s="306">
        <v>35</v>
      </c>
      <c r="G57" s="307">
        <v>4</v>
      </c>
      <c r="H57" s="307">
        <v>8</v>
      </c>
      <c r="I57" s="307">
        <v>3</v>
      </c>
      <c r="J57" s="307">
        <v>6</v>
      </c>
      <c r="K57" s="307">
        <v>2</v>
      </c>
    </row>
    <row r="58" spans="1:11" x14ac:dyDescent="0.35">
      <c r="A58" s="534"/>
      <c r="B58" s="535"/>
      <c r="C58" s="536"/>
      <c r="D58" s="537"/>
      <c r="E58" s="538"/>
      <c r="F58" s="300">
        <f>F57*$E$57</f>
        <v>0</v>
      </c>
      <c r="G58" s="301">
        <f t="shared" ref="G58:K58" si="26">G57*$E$57</f>
        <v>0</v>
      </c>
      <c r="H58" s="301">
        <f t="shared" si="26"/>
        <v>0</v>
      </c>
      <c r="I58" s="301">
        <f t="shared" si="26"/>
        <v>0</v>
      </c>
      <c r="J58" s="301">
        <f t="shared" si="26"/>
        <v>0</v>
      </c>
      <c r="K58" s="301">
        <f t="shared" si="26"/>
        <v>0</v>
      </c>
    </row>
    <row r="59" spans="1:11" x14ac:dyDescent="0.35">
      <c r="A59" s="481">
        <v>22</v>
      </c>
      <c r="B59" s="498" t="s">
        <v>386</v>
      </c>
      <c r="C59" s="499">
        <v>347886</v>
      </c>
      <c r="D59" s="500" t="s">
        <v>321</v>
      </c>
      <c r="E59" s="471">
        <v>30.02</v>
      </c>
      <c r="F59" s="302">
        <v>2</v>
      </c>
      <c r="G59" s="303">
        <v>1</v>
      </c>
      <c r="H59" s="303">
        <v>0</v>
      </c>
      <c r="I59" s="303">
        <v>0</v>
      </c>
      <c r="J59" s="303">
        <v>0</v>
      </c>
      <c r="K59" s="303">
        <v>0</v>
      </c>
    </row>
    <row r="60" spans="1:11" x14ac:dyDescent="0.35">
      <c r="A60" s="481"/>
      <c r="B60" s="524"/>
      <c r="C60" s="499"/>
      <c r="D60" s="500"/>
      <c r="E60" s="471"/>
      <c r="F60" s="304">
        <f>F59*$E$59</f>
        <v>60.04</v>
      </c>
      <c r="G60" s="305">
        <f>G59*$E$59</f>
        <v>30.02</v>
      </c>
      <c r="H60" s="305">
        <f t="shared" ref="H60:K60" si="27">H59*$E$59</f>
        <v>0</v>
      </c>
      <c r="I60" s="305">
        <f t="shared" si="27"/>
        <v>0</v>
      </c>
      <c r="J60" s="305">
        <f t="shared" si="27"/>
        <v>0</v>
      </c>
      <c r="K60" s="305">
        <f t="shared" si="27"/>
        <v>0</v>
      </c>
    </row>
    <row r="61" spans="1:11" x14ac:dyDescent="0.35">
      <c r="A61" s="472">
        <v>23</v>
      </c>
      <c r="B61" s="513" t="s">
        <v>318</v>
      </c>
      <c r="C61" s="509">
        <v>449786</v>
      </c>
      <c r="D61" s="508" t="s">
        <v>308</v>
      </c>
      <c r="E61" s="471">
        <v>3.63</v>
      </c>
      <c r="F61" s="306">
        <v>20</v>
      </c>
      <c r="G61" s="307">
        <v>6</v>
      </c>
      <c r="H61" s="307">
        <v>10</v>
      </c>
      <c r="I61" s="307">
        <v>5</v>
      </c>
      <c r="J61" s="307">
        <v>8</v>
      </c>
      <c r="K61" s="307">
        <v>5</v>
      </c>
    </row>
    <row r="62" spans="1:11" x14ac:dyDescent="0.35">
      <c r="A62" s="472"/>
      <c r="B62" s="525"/>
      <c r="C62" s="509"/>
      <c r="D62" s="508"/>
      <c r="E62" s="471"/>
      <c r="F62" s="300">
        <f>F61*$E$61</f>
        <v>72.599999999999994</v>
      </c>
      <c r="G62" s="301">
        <f>G61*$E$61</f>
        <v>21.78</v>
      </c>
      <c r="H62" s="301">
        <f t="shared" ref="H62:K62" si="28">H61*$E$61</f>
        <v>36.299999999999997</v>
      </c>
      <c r="I62" s="301">
        <f t="shared" si="28"/>
        <v>18.149999999999999</v>
      </c>
      <c r="J62" s="301">
        <f t="shared" si="28"/>
        <v>29.04</v>
      </c>
      <c r="K62" s="301">
        <f t="shared" si="28"/>
        <v>18.149999999999999</v>
      </c>
    </row>
    <row r="63" spans="1:11" x14ac:dyDescent="0.35">
      <c r="A63" s="481">
        <v>24</v>
      </c>
      <c r="B63" s="498" t="s">
        <v>354</v>
      </c>
      <c r="C63" s="499">
        <v>357462</v>
      </c>
      <c r="D63" s="500" t="s">
        <v>308</v>
      </c>
      <c r="E63" s="471">
        <v>3.71</v>
      </c>
      <c r="F63" s="302">
        <v>20</v>
      </c>
      <c r="G63" s="303">
        <v>6</v>
      </c>
      <c r="H63" s="303">
        <v>10</v>
      </c>
      <c r="I63" s="303">
        <v>5</v>
      </c>
      <c r="J63" s="303">
        <v>8</v>
      </c>
      <c r="K63" s="303">
        <v>5</v>
      </c>
    </row>
    <row r="64" spans="1:11" x14ac:dyDescent="0.35">
      <c r="A64" s="481"/>
      <c r="B64" s="524"/>
      <c r="C64" s="499"/>
      <c r="D64" s="500"/>
      <c r="E64" s="471"/>
      <c r="F64" s="304">
        <f>F63*$E$63</f>
        <v>74.2</v>
      </c>
      <c r="G64" s="305">
        <f>G63*$E$63</f>
        <v>22.26</v>
      </c>
      <c r="H64" s="305">
        <f t="shared" ref="H64:K64" si="29">H63*$E$63</f>
        <v>37.1</v>
      </c>
      <c r="I64" s="305">
        <f t="shared" si="29"/>
        <v>18.55</v>
      </c>
      <c r="J64" s="305">
        <f t="shared" si="29"/>
        <v>29.68</v>
      </c>
      <c r="K64" s="305">
        <f t="shared" si="29"/>
        <v>18.55</v>
      </c>
    </row>
    <row r="65" spans="1:11" x14ac:dyDescent="0.35">
      <c r="A65" s="472">
        <v>25</v>
      </c>
      <c r="B65" s="513" t="s">
        <v>387</v>
      </c>
      <c r="C65" s="509">
        <v>224638</v>
      </c>
      <c r="D65" s="508" t="s">
        <v>308</v>
      </c>
      <c r="E65" s="471">
        <v>1.9</v>
      </c>
      <c r="F65" s="306">
        <f>20*15</f>
        <v>300</v>
      </c>
      <c r="G65" s="307">
        <v>150</v>
      </c>
      <c r="H65" s="307">
        <v>225</v>
      </c>
      <c r="I65" s="307">
        <f>4*15</f>
        <v>60</v>
      </c>
      <c r="J65" s="307">
        <f>4*15</f>
        <v>60</v>
      </c>
      <c r="K65" s="307">
        <f>3*15</f>
        <v>45</v>
      </c>
    </row>
    <row r="66" spans="1:11" x14ac:dyDescent="0.35">
      <c r="A66" s="472"/>
      <c r="B66" s="525"/>
      <c r="C66" s="509"/>
      <c r="D66" s="508"/>
      <c r="E66" s="471"/>
      <c r="F66" s="300">
        <f>F65*$E$65</f>
        <v>570</v>
      </c>
      <c r="G66" s="301">
        <f>G65*$E$65</f>
        <v>285</v>
      </c>
      <c r="H66" s="301">
        <f t="shared" ref="H66:K66" si="30">H65*$E$65</f>
        <v>427.5</v>
      </c>
      <c r="I66" s="301">
        <f t="shared" si="30"/>
        <v>114</v>
      </c>
      <c r="J66" s="301">
        <f t="shared" si="30"/>
        <v>114</v>
      </c>
      <c r="K66" s="301">
        <f t="shared" si="30"/>
        <v>85.5</v>
      </c>
    </row>
    <row r="67" spans="1:11" x14ac:dyDescent="0.35">
      <c r="A67" s="481">
        <v>26</v>
      </c>
      <c r="B67" s="498" t="s">
        <v>388</v>
      </c>
      <c r="C67" s="499">
        <v>233648</v>
      </c>
      <c r="D67" s="500" t="s">
        <v>308</v>
      </c>
      <c r="E67" s="471">
        <v>5.74</v>
      </c>
      <c r="F67" s="322">
        <f>2*12</f>
        <v>24</v>
      </c>
      <c r="G67" s="323">
        <v>0</v>
      </c>
      <c r="H67" s="323">
        <v>0</v>
      </c>
      <c r="I67" s="323">
        <v>0</v>
      </c>
      <c r="J67" s="323">
        <v>0</v>
      </c>
      <c r="K67" s="323">
        <v>0</v>
      </c>
    </row>
    <row r="68" spans="1:11" x14ac:dyDescent="0.35">
      <c r="A68" s="481"/>
      <c r="B68" s="524"/>
      <c r="C68" s="499"/>
      <c r="D68" s="500"/>
      <c r="E68" s="471"/>
      <c r="F68" s="304">
        <f>F67*$E$67</f>
        <v>137.76</v>
      </c>
      <c r="G68" s="305">
        <f>G67*$E$67</f>
        <v>0</v>
      </c>
      <c r="H68" s="305">
        <f t="shared" ref="H68:K68" si="31">H67*$E$67</f>
        <v>0</v>
      </c>
      <c r="I68" s="305">
        <f t="shared" si="31"/>
        <v>0</v>
      </c>
      <c r="J68" s="305">
        <f t="shared" si="31"/>
        <v>0</v>
      </c>
      <c r="K68" s="305">
        <f t="shared" si="31"/>
        <v>0</v>
      </c>
    </row>
    <row r="69" spans="1:11" x14ac:dyDescent="0.35">
      <c r="A69" s="472">
        <v>27</v>
      </c>
      <c r="B69" s="513" t="s">
        <v>389</v>
      </c>
      <c r="C69" s="509">
        <v>436328</v>
      </c>
      <c r="D69" s="508" t="s">
        <v>319</v>
      </c>
      <c r="E69" s="471">
        <v>10.32</v>
      </c>
      <c r="F69" s="306">
        <v>100</v>
      </c>
      <c r="G69" s="307">
        <v>25</v>
      </c>
      <c r="H69" s="307">
        <v>70</v>
      </c>
      <c r="I69" s="307">
        <v>25</v>
      </c>
      <c r="J69" s="307">
        <v>60</v>
      </c>
      <c r="K69" s="307">
        <v>25</v>
      </c>
    </row>
    <row r="70" spans="1:11" x14ac:dyDescent="0.35">
      <c r="A70" s="472"/>
      <c r="B70" s="525"/>
      <c r="C70" s="509"/>
      <c r="D70" s="526"/>
      <c r="E70" s="471"/>
      <c r="F70" s="300">
        <f>F69*$E$69</f>
        <v>1032</v>
      </c>
      <c r="G70" s="301">
        <f t="shared" ref="G70:K70" si="32">G69*$E$69</f>
        <v>258</v>
      </c>
      <c r="H70" s="301">
        <f t="shared" si="32"/>
        <v>722.4</v>
      </c>
      <c r="I70" s="301">
        <f t="shared" si="32"/>
        <v>258</v>
      </c>
      <c r="J70" s="301">
        <f t="shared" si="32"/>
        <v>619.20000000000005</v>
      </c>
      <c r="K70" s="301">
        <f t="shared" si="32"/>
        <v>258</v>
      </c>
    </row>
    <row r="71" spans="1:11" x14ac:dyDescent="0.35">
      <c r="A71" s="481">
        <v>28</v>
      </c>
      <c r="B71" s="498" t="s">
        <v>390</v>
      </c>
      <c r="C71" s="499">
        <v>374443</v>
      </c>
      <c r="D71" s="500" t="s">
        <v>320</v>
      </c>
      <c r="E71" s="471">
        <v>46.85</v>
      </c>
      <c r="F71" s="302">
        <v>12</v>
      </c>
      <c r="G71" s="303">
        <v>0</v>
      </c>
      <c r="H71" s="303">
        <v>0</v>
      </c>
      <c r="I71" s="303">
        <v>0</v>
      </c>
      <c r="J71" s="303">
        <v>0</v>
      </c>
      <c r="K71" s="303">
        <v>1</v>
      </c>
    </row>
    <row r="72" spans="1:11" x14ac:dyDescent="0.35">
      <c r="A72" s="481"/>
      <c r="B72" s="524"/>
      <c r="C72" s="499"/>
      <c r="D72" s="542"/>
      <c r="E72" s="471"/>
      <c r="F72" s="304">
        <f>F71*$E$71</f>
        <v>562.20000000000005</v>
      </c>
      <c r="G72" s="305">
        <f t="shared" ref="G72:K72" si="33">G71*$E$71</f>
        <v>0</v>
      </c>
      <c r="H72" s="305">
        <f t="shared" si="33"/>
        <v>0</v>
      </c>
      <c r="I72" s="305">
        <f t="shared" si="33"/>
        <v>0</v>
      </c>
      <c r="J72" s="305">
        <f t="shared" si="33"/>
        <v>0</v>
      </c>
      <c r="K72" s="305">
        <f t="shared" si="33"/>
        <v>46.85</v>
      </c>
    </row>
    <row r="73" spans="1:11" x14ac:dyDescent="0.35">
      <c r="A73" s="472">
        <v>29</v>
      </c>
      <c r="B73" s="474" t="s">
        <v>355</v>
      </c>
      <c r="C73" s="476">
        <v>397370</v>
      </c>
      <c r="D73" s="478" t="s">
        <v>311</v>
      </c>
      <c r="E73" s="471">
        <v>3.48</v>
      </c>
      <c r="F73" s="313">
        <v>6</v>
      </c>
      <c r="G73" s="314">
        <v>2</v>
      </c>
      <c r="H73" s="307">
        <v>4</v>
      </c>
      <c r="I73" s="307">
        <v>2</v>
      </c>
      <c r="J73" s="307">
        <v>3</v>
      </c>
      <c r="K73" s="307">
        <v>2</v>
      </c>
    </row>
    <row r="74" spans="1:11" x14ac:dyDescent="0.35">
      <c r="A74" s="472"/>
      <c r="B74" s="474"/>
      <c r="C74" s="476"/>
      <c r="D74" s="478"/>
      <c r="E74" s="471"/>
      <c r="F74" s="324">
        <f t="shared" ref="F74:K74" si="34">F73*$E$73</f>
        <v>20.88</v>
      </c>
      <c r="G74" s="325">
        <f t="shared" si="34"/>
        <v>6.96</v>
      </c>
      <c r="H74" s="326">
        <f t="shared" si="34"/>
        <v>13.92</v>
      </c>
      <c r="I74" s="326">
        <f t="shared" si="34"/>
        <v>6.96</v>
      </c>
      <c r="J74" s="326">
        <f t="shared" si="34"/>
        <v>10.44</v>
      </c>
      <c r="K74" s="326">
        <f t="shared" si="34"/>
        <v>6.96</v>
      </c>
    </row>
    <row r="75" spans="1:11" x14ac:dyDescent="0.35">
      <c r="A75" s="481">
        <v>30</v>
      </c>
      <c r="B75" s="468" t="s">
        <v>366</v>
      </c>
      <c r="C75" s="469">
        <v>241703</v>
      </c>
      <c r="D75" s="483" t="s">
        <v>311</v>
      </c>
      <c r="E75" s="471">
        <v>3.45</v>
      </c>
      <c r="F75" s="327">
        <v>1</v>
      </c>
      <c r="G75" s="328">
        <v>1</v>
      </c>
      <c r="H75" s="323">
        <v>1</v>
      </c>
      <c r="I75" s="323">
        <v>1</v>
      </c>
      <c r="J75" s="323">
        <v>2</v>
      </c>
      <c r="K75" s="323">
        <v>1</v>
      </c>
    </row>
    <row r="76" spans="1:11" x14ac:dyDescent="0.35">
      <c r="A76" s="481"/>
      <c r="B76" s="468"/>
      <c r="C76" s="469"/>
      <c r="D76" s="483"/>
      <c r="E76" s="471"/>
      <c r="F76" s="329">
        <f>F75*$E$75</f>
        <v>3.45</v>
      </c>
      <c r="G76" s="330">
        <f t="shared" ref="G76:K76" si="35">G75*$E$75</f>
        <v>3.45</v>
      </c>
      <c r="H76" s="330">
        <f t="shared" si="35"/>
        <v>3.45</v>
      </c>
      <c r="I76" s="330">
        <f t="shared" si="35"/>
        <v>3.45</v>
      </c>
      <c r="J76" s="330">
        <f t="shared" si="35"/>
        <v>6.9</v>
      </c>
      <c r="K76" s="330">
        <f t="shared" si="35"/>
        <v>3.45</v>
      </c>
    </row>
    <row r="77" spans="1:11" x14ac:dyDescent="0.35">
      <c r="A77" s="472">
        <v>31</v>
      </c>
      <c r="B77" s="519" t="s">
        <v>356</v>
      </c>
      <c r="C77" s="476">
        <v>295598</v>
      </c>
      <c r="D77" s="478" t="s">
        <v>311</v>
      </c>
      <c r="E77" s="471">
        <v>2</v>
      </c>
      <c r="F77" s="313">
        <v>2</v>
      </c>
      <c r="G77" s="314">
        <v>0</v>
      </c>
      <c r="H77" s="307">
        <v>0</v>
      </c>
      <c r="I77" s="307">
        <v>0</v>
      </c>
      <c r="J77" s="307">
        <v>1</v>
      </c>
      <c r="K77" s="307">
        <v>0</v>
      </c>
    </row>
    <row r="78" spans="1:11" x14ac:dyDescent="0.35">
      <c r="A78" s="472"/>
      <c r="B78" s="519"/>
      <c r="C78" s="476"/>
      <c r="D78" s="478"/>
      <c r="E78" s="471"/>
      <c r="F78" s="324">
        <f>F77*$E$77</f>
        <v>4</v>
      </c>
      <c r="G78" s="325">
        <f t="shared" ref="G78:K78" si="36">G77*$E$77</f>
        <v>0</v>
      </c>
      <c r="H78" s="325">
        <f>H77*$E$77</f>
        <v>0</v>
      </c>
      <c r="I78" s="325">
        <f t="shared" si="36"/>
        <v>0</v>
      </c>
      <c r="J78" s="325">
        <f t="shared" si="36"/>
        <v>2</v>
      </c>
      <c r="K78" s="325">
        <f t="shared" si="36"/>
        <v>0</v>
      </c>
    </row>
    <row r="79" spans="1:11" x14ac:dyDescent="0.35">
      <c r="A79" s="481">
        <v>32</v>
      </c>
      <c r="B79" s="519" t="s">
        <v>357</v>
      </c>
      <c r="C79" s="469"/>
      <c r="D79" s="483"/>
      <c r="E79" s="471"/>
      <c r="F79" s="327">
        <v>2</v>
      </c>
      <c r="G79" s="328">
        <v>1</v>
      </c>
      <c r="H79" s="323">
        <v>0</v>
      </c>
      <c r="I79" s="323">
        <v>0</v>
      </c>
      <c r="J79" s="323">
        <v>0</v>
      </c>
      <c r="K79" s="323">
        <v>0</v>
      </c>
    </row>
    <row r="80" spans="1:11" x14ac:dyDescent="0.35">
      <c r="A80" s="481"/>
      <c r="B80" s="519"/>
      <c r="C80" s="469"/>
      <c r="D80" s="483"/>
      <c r="E80" s="471"/>
      <c r="F80" s="329">
        <f>F79*$E$79</f>
        <v>0</v>
      </c>
      <c r="G80" s="330">
        <f t="shared" ref="G80:K80" si="37">G79*$E$79</f>
        <v>0</v>
      </c>
      <c r="H80" s="330">
        <f>H79*$E$79</f>
        <v>0</v>
      </c>
      <c r="I80" s="330">
        <f t="shared" si="37"/>
        <v>0</v>
      </c>
      <c r="J80" s="330">
        <f t="shared" si="37"/>
        <v>0</v>
      </c>
      <c r="K80" s="330">
        <f t="shared" si="37"/>
        <v>0</v>
      </c>
    </row>
    <row r="81" spans="1:11" x14ac:dyDescent="0.35">
      <c r="A81" s="472">
        <v>33</v>
      </c>
      <c r="B81" s="513" t="s">
        <v>358</v>
      </c>
      <c r="C81" s="509">
        <v>485479</v>
      </c>
      <c r="D81" s="508" t="s">
        <v>308</v>
      </c>
      <c r="E81" s="471">
        <v>58.55</v>
      </c>
      <c r="F81" s="306">
        <v>5</v>
      </c>
      <c r="G81" s="307">
        <v>4</v>
      </c>
      <c r="H81" s="307">
        <v>2</v>
      </c>
      <c r="I81" s="307">
        <v>2</v>
      </c>
      <c r="J81" s="307">
        <v>1</v>
      </c>
      <c r="K81" s="307">
        <v>1</v>
      </c>
    </row>
    <row r="82" spans="1:11" x14ac:dyDescent="0.35">
      <c r="A82" s="472"/>
      <c r="B82" s="525"/>
      <c r="C82" s="509"/>
      <c r="D82" s="539"/>
      <c r="E82" s="471"/>
      <c r="F82" s="300">
        <f>F81*$E$81</f>
        <v>292.75</v>
      </c>
      <c r="G82" s="301">
        <f t="shared" ref="G82:K82" si="38">G81*$E$81</f>
        <v>234.2</v>
      </c>
      <c r="H82" s="301">
        <f>H81*$E$81</f>
        <v>117.1</v>
      </c>
      <c r="I82" s="301">
        <f t="shared" si="38"/>
        <v>117.1</v>
      </c>
      <c r="J82" s="301">
        <f t="shared" si="38"/>
        <v>58.55</v>
      </c>
      <c r="K82" s="301">
        <f t="shared" si="38"/>
        <v>58.55</v>
      </c>
    </row>
    <row r="83" spans="1:11" x14ac:dyDescent="0.35">
      <c r="A83" s="481">
        <v>34</v>
      </c>
      <c r="B83" s="498" t="s">
        <v>359</v>
      </c>
      <c r="C83" s="527">
        <v>345458</v>
      </c>
      <c r="D83" s="528" t="s">
        <v>327</v>
      </c>
      <c r="E83" s="471">
        <v>105.21</v>
      </c>
      <c r="F83" s="322">
        <v>12</v>
      </c>
      <c r="G83" s="323">
        <v>0</v>
      </c>
      <c r="H83" s="323">
        <v>0</v>
      </c>
      <c r="I83" s="323">
        <v>0</v>
      </c>
      <c r="J83" s="323">
        <v>0</v>
      </c>
      <c r="K83" s="323">
        <v>0</v>
      </c>
    </row>
    <row r="84" spans="1:11" x14ac:dyDescent="0.35">
      <c r="A84" s="481"/>
      <c r="B84" s="524"/>
      <c r="C84" s="527"/>
      <c r="D84" s="526"/>
      <c r="E84" s="471"/>
      <c r="F84" s="304">
        <f>F83*$E$83</f>
        <v>1262.52</v>
      </c>
      <c r="G84" s="305">
        <f t="shared" ref="G84:K84" si="39">G83*$E$83</f>
        <v>0</v>
      </c>
      <c r="H84" s="305">
        <f t="shared" si="39"/>
        <v>0</v>
      </c>
      <c r="I84" s="305">
        <f t="shared" si="39"/>
        <v>0</v>
      </c>
      <c r="J84" s="305">
        <f t="shared" si="39"/>
        <v>0</v>
      </c>
      <c r="K84" s="305">
        <f t="shared" si="39"/>
        <v>0</v>
      </c>
    </row>
    <row r="85" spans="1:11" x14ac:dyDescent="0.35">
      <c r="A85" s="472">
        <v>35</v>
      </c>
      <c r="B85" s="532" t="s">
        <v>360</v>
      </c>
      <c r="C85" s="509"/>
      <c r="D85" s="508"/>
      <c r="E85" s="471"/>
      <c r="F85" s="306">
        <v>2</v>
      </c>
      <c r="G85" s="307">
        <v>1</v>
      </c>
      <c r="H85" s="307">
        <v>0</v>
      </c>
      <c r="I85" s="307">
        <v>0</v>
      </c>
      <c r="J85" s="307">
        <v>0</v>
      </c>
      <c r="K85" s="307">
        <v>0</v>
      </c>
    </row>
    <row r="86" spans="1:11" x14ac:dyDescent="0.35">
      <c r="A86" s="472"/>
      <c r="B86" s="541"/>
      <c r="C86" s="509"/>
      <c r="D86" s="526"/>
      <c r="E86" s="471"/>
      <c r="F86" s="300">
        <f>F85*$E$85</f>
        <v>0</v>
      </c>
      <c r="G86" s="301">
        <f t="shared" ref="G86:K86" si="40">G85*$E$85</f>
        <v>0</v>
      </c>
      <c r="H86" s="301">
        <f t="shared" si="40"/>
        <v>0</v>
      </c>
      <c r="I86" s="301">
        <f t="shared" si="40"/>
        <v>0</v>
      </c>
      <c r="J86" s="301">
        <f t="shared" si="40"/>
        <v>0</v>
      </c>
      <c r="K86" s="301">
        <f t="shared" si="40"/>
        <v>0</v>
      </c>
    </row>
    <row r="87" spans="1:11" x14ac:dyDescent="0.35">
      <c r="A87" s="481">
        <v>36</v>
      </c>
      <c r="B87" s="532" t="s">
        <v>361</v>
      </c>
      <c r="C87" s="499"/>
      <c r="D87" s="500"/>
      <c r="E87" s="471"/>
      <c r="F87" s="302">
        <v>5</v>
      </c>
      <c r="G87" s="303">
        <v>2</v>
      </c>
      <c r="H87" s="303">
        <v>0</v>
      </c>
      <c r="I87" s="303">
        <v>1</v>
      </c>
      <c r="J87" s="303">
        <v>2</v>
      </c>
      <c r="K87" s="303">
        <v>3</v>
      </c>
    </row>
    <row r="88" spans="1:11" x14ac:dyDescent="0.35">
      <c r="A88" s="481"/>
      <c r="B88" s="541"/>
      <c r="C88" s="499"/>
      <c r="D88" s="542"/>
      <c r="E88" s="471"/>
      <c r="F88" s="304">
        <f>F87*$E$87</f>
        <v>0</v>
      </c>
      <c r="G88" s="305">
        <f t="shared" ref="G88:K88" si="41">G87*$E$87</f>
        <v>0</v>
      </c>
      <c r="H88" s="305">
        <f t="shared" si="41"/>
        <v>0</v>
      </c>
      <c r="I88" s="305">
        <f t="shared" si="41"/>
        <v>0</v>
      </c>
      <c r="J88" s="305">
        <f t="shared" si="41"/>
        <v>0</v>
      </c>
      <c r="K88" s="305">
        <f t="shared" si="41"/>
        <v>0</v>
      </c>
    </row>
    <row r="89" spans="1:11" x14ac:dyDescent="0.35">
      <c r="A89" s="472">
        <v>37</v>
      </c>
      <c r="B89" s="513" t="s">
        <v>391</v>
      </c>
      <c r="C89" s="509">
        <v>30414</v>
      </c>
      <c r="D89" s="508" t="s">
        <v>321</v>
      </c>
      <c r="E89" s="471">
        <v>7.29</v>
      </c>
      <c r="F89" s="306">
        <v>2</v>
      </c>
      <c r="G89" s="307">
        <v>0</v>
      </c>
      <c r="H89" s="307">
        <f>4/5</f>
        <v>0.8</v>
      </c>
      <c r="I89" s="307">
        <f>3/5</f>
        <v>0.6</v>
      </c>
      <c r="J89" s="307">
        <f>1/5</f>
        <v>0.2</v>
      </c>
      <c r="K89" s="307">
        <f>6/5</f>
        <v>1.2</v>
      </c>
    </row>
    <row r="90" spans="1:11" x14ac:dyDescent="0.35">
      <c r="A90" s="472"/>
      <c r="B90" s="525"/>
      <c r="C90" s="509"/>
      <c r="D90" s="526"/>
      <c r="E90" s="471"/>
      <c r="F90" s="300">
        <f>F89*$E$89</f>
        <v>14.58</v>
      </c>
      <c r="G90" s="301">
        <f t="shared" ref="G90:K90" si="42">G89*$E$89</f>
        <v>0</v>
      </c>
      <c r="H90" s="301">
        <f t="shared" si="42"/>
        <v>5.83</v>
      </c>
      <c r="I90" s="301">
        <f t="shared" si="42"/>
        <v>4.37</v>
      </c>
      <c r="J90" s="301">
        <f t="shared" si="42"/>
        <v>1.46</v>
      </c>
      <c r="K90" s="301">
        <f t="shared" si="42"/>
        <v>8.75</v>
      </c>
    </row>
    <row r="91" spans="1:11" x14ac:dyDescent="0.35">
      <c r="A91" s="481">
        <v>38</v>
      </c>
      <c r="B91" s="468" t="s">
        <v>322</v>
      </c>
      <c r="C91" s="527">
        <v>332971</v>
      </c>
      <c r="D91" s="528" t="s">
        <v>308</v>
      </c>
      <c r="E91" s="471">
        <v>5.25</v>
      </c>
      <c r="F91" s="322">
        <v>3</v>
      </c>
      <c r="G91" s="323">
        <v>8</v>
      </c>
      <c r="H91" s="323">
        <v>2</v>
      </c>
      <c r="I91" s="323">
        <v>2</v>
      </c>
      <c r="J91" s="323">
        <v>1</v>
      </c>
      <c r="K91" s="323">
        <v>4</v>
      </c>
    </row>
    <row r="92" spans="1:11" x14ac:dyDescent="0.35">
      <c r="A92" s="481"/>
      <c r="B92" s="468"/>
      <c r="C92" s="527"/>
      <c r="D92" s="526"/>
      <c r="E92" s="471"/>
      <c r="F92" s="304">
        <f>F91*$E$91</f>
        <v>15.75</v>
      </c>
      <c r="G92" s="305">
        <f t="shared" ref="G92:K92" si="43">G91*$E$91</f>
        <v>42</v>
      </c>
      <c r="H92" s="305">
        <f t="shared" si="43"/>
        <v>10.5</v>
      </c>
      <c r="I92" s="305">
        <f t="shared" si="43"/>
        <v>10.5</v>
      </c>
      <c r="J92" s="305">
        <f t="shared" si="43"/>
        <v>5.25</v>
      </c>
      <c r="K92" s="305">
        <f t="shared" si="43"/>
        <v>21</v>
      </c>
    </row>
    <row r="93" spans="1:11" x14ac:dyDescent="0.35">
      <c r="A93" s="472">
        <v>39</v>
      </c>
      <c r="B93" s="540" t="s">
        <v>392</v>
      </c>
      <c r="C93" s="476">
        <v>472873</v>
      </c>
      <c r="D93" s="478" t="s">
        <v>327</v>
      </c>
      <c r="E93" s="471">
        <v>18.89</v>
      </c>
      <c r="F93" s="313">
        <f>20/5</f>
        <v>4</v>
      </c>
      <c r="G93" s="309">
        <f>5/5</f>
        <v>1</v>
      </c>
      <c r="H93" s="303">
        <f>10/5</f>
        <v>2</v>
      </c>
      <c r="I93" s="303">
        <f>5/5</f>
        <v>1</v>
      </c>
      <c r="J93" s="303">
        <f>1/5</f>
        <v>0.2</v>
      </c>
      <c r="K93" s="303">
        <f>6/5</f>
        <v>1.2</v>
      </c>
    </row>
    <row r="94" spans="1:11" x14ac:dyDescent="0.35">
      <c r="A94" s="472"/>
      <c r="B94" s="540"/>
      <c r="C94" s="476"/>
      <c r="D94" s="478"/>
      <c r="E94" s="471"/>
      <c r="F94" s="315">
        <f>F93*$E$93</f>
        <v>75.56</v>
      </c>
      <c r="G94" s="316">
        <f t="shared" ref="G94:K94" si="44">G93*$E$93</f>
        <v>18.89</v>
      </c>
      <c r="H94" s="316">
        <f t="shared" si="44"/>
        <v>37.78</v>
      </c>
      <c r="I94" s="316">
        <f t="shared" si="44"/>
        <v>18.89</v>
      </c>
      <c r="J94" s="316">
        <f t="shared" si="44"/>
        <v>3.78</v>
      </c>
      <c r="K94" s="316">
        <f t="shared" si="44"/>
        <v>22.67</v>
      </c>
    </row>
    <row r="95" spans="1:11" x14ac:dyDescent="0.35">
      <c r="A95" s="481">
        <v>40</v>
      </c>
      <c r="B95" s="498" t="s">
        <v>447</v>
      </c>
      <c r="C95" s="499">
        <v>444433</v>
      </c>
      <c r="D95" s="500" t="s">
        <v>308</v>
      </c>
      <c r="E95" s="471">
        <v>1.56</v>
      </c>
      <c r="F95" s="302">
        <v>12</v>
      </c>
      <c r="G95" s="303">
        <v>2</v>
      </c>
      <c r="H95" s="303">
        <v>0</v>
      </c>
      <c r="I95" s="303">
        <v>5</v>
      </c>
      <c r="J95" s="303">
        <v>3</v>
      </c>
      <c r="K95" s="303">
        <v>2</v>
      </c>
    </row>
    <row r="96" spans="1:11" x14ac:dyDescent="0.35">
      <c r="A96" s="481"/>
      <c r="B96" s="524"/>
      <c r="C96" s="499"/>
      <c r="D96" s="542"/>
      <c r="E96" s="471"/>
      <c r="F96" s="304">
        <f>F95*$E$95</f>
        <v>18.72</v>
      </c>
      <c r="G96" s="305">
        <f t="shared" ref="G96:K96" si="45">G95*$E$95</f>
        <v>3.12</v>
      </c>
      <c r="H96" s="305">
        <f t="shared" si="45"/>
        <v>0</v>
      </c>
      <c r="I96" s="305">
        <f>I95*$E$95</f>
        <v>7.8</v>
      </c>
      <c r="J96" s="305">
        <f t="shared" si="45"/>
        <v>4.68</v>
      </c>
      <c r="K96" s="305">
        <f t="shared" si="45"/>
        <v>3.12</v>
      </c>
    </row>
    <row r="97" spans="1:11" x14ac:dyDescent="0.35">
      <c r="A97" s="472">
        <v>41</v>
      </c>
      <c r="B97" s="474" t="s">
        <v>362</v>
      </c>
      <c r="C97" s="476">
        <v>472873</v>
      </c>
      <c r="D97" s="478" t="s">
        <v>310</v>
      </c>
      <c r="E97" s="471">
        <v>7.92</v>
      </c>
      <c r="F97" s="313">
        <v>60</v>
      </c>
      <c r="G97" s="314">
        <v>25</v>
      </c>
      <c r="H97" s="307">
        <v>10</v>
      </c>
      <c r="I97" s="307">
        <v>5</v>
      </c>
      <c r="J97" s="307">
        <v>5</v>
      </c>
      <c r="K97" s="307">
        <v>3</v>
      </c>
    </row>
    <row r="98" spans="1:11" x14ac:dyDescent="0.35">
      <c r="A98" s="472"/>
      <c r="B98" s="474"/>
      <c r="C98" s="476"/>
      <c r="D98" s="478"/>
      <c r="E98" s="471"/>
      <c r="F98" s="315">
        <f>F97*$E$97</f>
        <v>475.2</v>
      </c>
      <c r="G98" s="316">
        <f>G97*$E$97</f>
        <v>198</v>
      </c>
      <c r="H98" s="301">
        <f t="shared" ref="H98:K98" si="46">H97*$E$97</f>
        <v>79.2</v>
      </c>
      <c r="I98" s="301">
        <f t="shared" si="46"/>
        <v>39.6</v>
      </c>
      <c r="J98" s="301">
        <f t="shared" si="46"/>
        <v>39.6</v>
      </c>
      <c r="K98" s="301">
        <f t="shared" si="46"/>
        <v>23.76</v>
      </c>
    </row>
    <row r="99" spans="1:11" x14ac:dyDescent="0.35">
      <c r="A99" s="481">
        <v>42</v>
      </c>
      <c r="B99" s="468" t="s">
        <v>363</v>
      </c>
      <c r="C99" s="482">
        <v>327878</v>
      </c>
      <c r="D99" s="470" t="s">
        <v>308</v>
      </c>
      <c r="E99" s="471">
        <v>13.42</v>
      </c>
      <c r="F99" s="308">
        <v>3</v>
      </c>
      <c r="G99" s="309">
        <v>2</v>
      </c>
      <c r="H99" s="303">
        <v>3</v>
      </c>
      <c r="I99" s="303">
        <v>2</v>
      </c>
      <c r="J99" s="303">
        <v>3</v>
      </c>
      <c r="K99" s="303">
        <v>1</v>
      </c>
    </row>
    <row r="100" spans="1:11" x14ac:dyDescent="0.35">
      <c r="A100" s="481"/>
      <c r="B100" s="468"/>
      <c r="C100" s="482"/>
      <c r="D100" s="470"/>
      <c r="E100" s="471"/>
      <c r="F100" s="311">
        <f>F99*$E$99</f>
        <v>40.26</v>
      </c>
      <c r="G100" s="311">
        <f t="shared" ref="G100:K100" si="47">G99*$E$99</f>
        <v>26.84</v>
      </c>
      <c r="H100" s="311">
        <f t="shared" si="47"/>
        <v>40.26</v>
      </c>
      <c r="I100" s="311">
        <f t="shared" si="47"/>
        <v>26.84</v>
      </c>
      <c r="J100" s="311">
        <f t="shared" si="47"/>
        <v>40.26</v>
      </c>
      <c r="K100" s="311">
        <f t="shared" si="47"/>
        <v>13.42</v>
      </c>
    </row>
    <row r="101" spans="1:11" x14ac:dyDescent="0.35">
      <c r="A101" s="472">
        <v>43</v>
      </c>
      <c r="B101" s="474" t="s">
        <v>364</v>
      </c>
      <c r="C101" s="476">
        <v>470832</v>
      </c>
      <c r="D101" s="478" t="s">
        <v>320</v>
      </c>
      <c r="E101" s="471">
        <v>16.57</v>
      </c>
      <c r="F101" s="313">
        <v>7</v>
      </c>
      <c r="G101" s="314">
        <v>3</v>
      </c>
      <c r="H101" s="307">
        <v>5</v>
      </c>
      <c r="I101" s="307">
        <v>2</v>
      </c>
      <c r="J101" s="307">
        <v>3</v>
      </c>
      <c r="K101" s="307">
        <v>2</v>
      </c>
    </row>
    <row r="102" spans="1:11" x14ac:dyDescent="0.35">
      <c r="A102" s="472"/>
      <c r="B102" s="474"/>
      <c r="C102" s="476"/>
      <c r="D102" s="483"/>
      <c r="E102" s="471"/>
      <c r="F102" s="315">
        <f>F101*$E$101</f>
        <v>115.99</v>
      </c>
      <c r="G102" s="315">
        <f t="shared" ref="G102:K102" si="48">G101*$E$101</f>
        <v>49.71</v>
      </c>
      <c r="H102" s="315">
        <f t="shared" si="48"/>
        <v>82.85</v>
      </c>
      <c r="I102" s="315">
        <f t="shared" si="48"/>
        <v>33.14</v>
      </c>
      <c r="J102" s="315">
        <f>J101*$E$101</f>
        <v>49.71</v>
      </c>
      <c r="K102" s="315">
        <f t="shared" si="48"/>
        <v>33.14</v>
      </c>
    </row>
    <row r="103" spans="1:11" x14ac:dyDescent="0.35">
      <c r="A103" s="481">
        <v>44</v>
      </c>
      <c r="B103" s="468" t="s">
        <v>365</v>
      </c>
      <c r="C103" s="482">
        <v>470832</v>
      </c>
      <c r="D103" s="470" t="s">
        <v>320</v>
      </c>
      <c r="E103" s="471">
        <v>16.57</v>
      </c>
      <c r="F103" s="308">
        <v>3</v>
      </c>
      <c r="G103" s="309">
        <v>1</v>
      </c>
      <c r="H103" s="303">
        <v>3</v>
      </c>
      <c r="I103" s="303">
        <v>0</v>
      </c>
      <c r="J103" s="303">
        <v>1</v>
      </c>
      <c r="K103" s="303">
        <v>0</v>
      </c>
    </row>
    <row r="104" spans="1:11" x14ac:dyDescent="0.35">
      <c r="A104" s="481"/>
      <c r="B104" s="468"/>
      <c r="C104" s="482"/>
      <c r="D104" s="470"/>
      <c r="E104" s="471"/>
      <c r="F104" s="311">
        <f>F103*$E$103</f>
        <v>49.71</v>
      </c>
      <c r="G104" s="311">
        <f t="shared" ref="G104:K104" si="49">G103*$E$103</f>
        <v>16.57</v>
      </c>
      <c r="H104" s="311">
        <f t="shared" si="49"/>
        <v>49.71</v>
      </c>
      <c r="I104" s="311">
        <f t="shared" si="49"/>
        <v>0</v>
      </c>
      <c r="J104" s="311">
        <f t="shared" si="49"/>
        <v>16.57</v>
      </c>
      <c r="K104" s="311">
        <f t="shared" si="49"/>
        <v>0</v>
      </c>
    </row>
    <row r="105" spans="1:11" x14ac:dyDescent="0.35">
      <c r="A105" s="472">
        <v>45</v>
      </c>
      <c r="B105" s="474" t="s">
        <v>393</v>
      </c>
      <c r="C105" s="476">
        <v>470833</v>
      </c>
      <c r="D105" s="478" t="s">
        <v>320</v>
      </c>
      <c r="E105" s="471">
        <v>30.48</v>
      </c>
      <c r="F105" s="313">
        <v>7</v>
      </c>
      <c r="G105" s="314">
        <v>5</v>
      </c>
      <c r="H105" s="307">
        <v>3</v>
      </c>
      <c r="I105" s="307">
        <v>1</v>
      </c>
      <c r="J105" s="307">
        <v>1</v>
      </c>
      <c r="K105" s="307">
        <v>2</v>
      </c>
    </row>
    <row r="106" spans="1:11" x14ac:dyDescent="0.35">
      <c r="A106" s="472"/>
      <c r="B106" s="474"/>
      <c r="C106" s="476"/>
      <c r="D106" s="483"/>
      <c r="E106" s="471"/>
      <c r="F106" s="315">
        <f>F105*$E$105</f>
        <v>213.36</v>
      </c>
      <c r="G106" s="315">
        <f t="shared" ref="G106:K106" si="50">G105*$E$105</f>
        <v>152.4</v>
      </c>
      <c r="H106" s="315">
        <f t="shared" si="50"/>
        <v>91.44</v>
      </c>
      <c r="I106" s="315">
        <f t="shared" si="50"/>
        <v>30.48</v>
      </c>
      <c r="J106" s="315">
        <f t="shared" si="50"/>
        <v>30.48</v>
      </c>
      <c r="K106" s="315">
        <f t="shared" si="50"/>
        <v>60.96</v>
      </c>
    </row>
    <row r="107" spans="1:11" x14ac:dyDescent="0.35">
      <c r="A107" s="481">
        <v>46</v>
      </c>
      <c r="B107" s="468" t="s">
        <v>394</v>
      </c>
      <c r="C107" s="469">
        <v>470833</v>
      </c>
      <c r="D107" s="470" t="s">
        <v>320</v>
      </c>
      <c r="E107" s="471">
        <v>30.48</v>
      </c>
      <c r="F107" s="327">
        <v>3</v>
      </c>
      <c r="G107" s="328">
        <v>1</v>
      </c>
      <c r="H107" s="323">
        <v>0</v>
      </c>
      <c r="I107" s="323">
        <v>0</v>
      </c>
      <c r="J107" s="323">
        <v>0</v>
      </c>
      <c r="K107" s="323">
        <v>0</v>
      </c>
    </row>
    <row r="108" spans="1:11" x14ac:dyDescent="0.35">
      <c r="A108" s="481"/>
      <c r="B108" s="468"/>
      <c r="C108" s="469"/>
      <c r="D108" s="470"/>
      <c r="E108" s="471"/>
      <c r="F108" s="311">
        <f>F107*$E$107</f>
        <v>91.44</v>
      </c>
      <c r="G108" s="311">
        <f t="shared" ref="G108:K108" si="51">G107*$E$107</f>
        <v>30.48</v>
      </c>
      <c r="H108" s="311">
        <f t="shared" si="51"/>
        <v>0</v>
      </c>
      <c r="I108" s="311">
        <f t="shared" si="51"/>
        <v>0</v>
      </c>
      <c r="J108" s="311">
        <f t="shared" si="51"/>
        <v>0</v>
      </c>
      <c r="K108" s="311">
        <f t="shared" si="51"/>
        <v>0</v>
      </c>
    </row>
    <row r="109" spans="1:11" x14ac:dyDescent="0.35">
      <c r="A109" s="472">
        <v>47</v>
      </c>
      <c r="B109" s="474" t="s">
        <v>395</v>
      </c>
      <c r="C109" s="476">
        <v>407037</v>
      </c>
      <c r="D109" s="478" t="s">
        <v>320</v>
      </c>
      <c r="E109" s="471">
        <v>11.09</v>
      </c>
      <c r="F109" s="313">
        <v>0</v>
      </c>
      <c r="G109" s="314">
        <v>0</v>
      </c>
      <c r="H109" s="307">
        <v>0</v>
      </c>
      <c r="I109" s="307">
        <v>0</v>
      </c>
      <c r="J109" s="307">
        <v>0</v>
      </c>
      <c r="K109" s="307">
        <v>0</v>
      </c>
    </row>
    <row r="110" spans="1:11" ht="15" thickBot="1" x14ac:dyDescent="0.4">
      <c r="A110" s="473"/>
      <c r="B110" s="475"/>
      <c r="C110" s="477"/>
      <c r="D110" s="479"/>
      <c r="E110" s="480"/>
      <c r="F110" s="331">
        <f>F109*$E$109</f>
        <v>0</v>
      </c>
      <c r="G110" s="331">
        <f t="shared" ref="G110:K110" si="52">G109*$E$109</f>
        <v>0</v>
      </c>
      <c r="H110" s="331">
        <f t="shared" si="52"/>
        <v>0</v>
      </c>
      <c r="I110" s="331">
        <f t="shared" si="52"/>
        <v>0</v>
      </c>
      <c r="J110" s="331">
        <f t="shared" si="52"/>
        <v>0</v>
      </c>
      <c r="K110" s="331">
        <f t="shared" si="52"/>
        <v>0</v>
      </c>
    </row>
    <row r="111" spans="1:11" x14ac:dyDescent="0.35">
      <c r="A111" s="481">
        <v>48</v>
      </c>
      <c r="B111" s="468" t="s">
        <v>489</v>
      </c>
      <c r="C111" s="482"/>
      <c r="D111" s="470" t="s">
        <v>308</v>
      </c>
      <c r="E111" s="471"/>
      <c r="F111" s="308">
        <v>8</v>
      </c>
      <c r="G111" s="309"/>
      <c r="H111" s="303"/>
      <c r="I111" s="303"/>
      <c r="J111" s="303"/>
      <c r="K111" s="303"/>
    </row>
    <row r="112" spans="1:11" x14ac:dyDescent="0.35">
      <c r="A112" s="481"/>
      <c r="B112" s="468"/>
      <c r="C112" s="482"/>
      <c r="D112" s="470"/>
      <c r="E112" s="471"/>
      <c r="F112" s="311">
        <f>F111*$E$111</f>
        <v>0</v>
      </c>
      <c r="G112" s="312">
        <f t="shared" ref="G112:K112" si="53">G111*$E$111</f>
        <v>0</v>
      </c>
      <c r="H112" s="312">
        <f>H111*$E$111</f>
        <v>0</v>
      </c>
      <c r="I112" s="312">
        <f t="shared" si="53"/>
        <v>0</v>
      </c>
      <c r="J112" s="312">
        <f t="shared" si="53"/>
        <v>0</v>
      </c>
      <c r="K112" s="312">
        <f t="shared" si="53"/>
        <v>0</v>
      </c>
    </row>
    <row r="113" spans="1:11" x14ac:dyDescent="0.35">
      <c r="A113" s="472">
        <v>49</v>
      </c>
      <c r="B113" s="474" t="s">
        <v>490</v>
      </c>
      <c r="C113" s="476">
        <v>321633</v>
      </c>
      <c r="D113" s="478" t="s">
        <v>308</v>
      </c>
      <c r="E113" s="471">
        <v>3.17</v>
      </c>
      <c r="F113" s="313">
        <v>20</v>
      </c>
      <c r="G113" s="314"/>
      <c r="H113" s="307"/>
      <c r="I113" s="307"/>
      <c r="J113" s="307"/>
      <c r="K113" s="307"/>
    </row>
    <row r="114" spans="1:11" x14ac:dyDescent="0.35">
      <c r="A114" s="472"/>
      <c r="B114" s="474"/>
      <c r="C114" s="476"/>
      <c r="D114" s="483"/>
      <c r="E114" s="471"/>
      <c r="F114" s="315">
        <f t="shared" ref="F114:K114" si="54">F113*$E$113</f>
        <v>63.4</v>
      </c>
      <c r="G114" s="316">
        <f t="shared" si="54"/>
        <v>0</v>
      </c>
      <c r="H114" s="301">
        <f t="shared" si="54"/>
        <v>0</v>
      </c>
      <c r="I114" s="301">
        <f t="shared" si="54"/>
        <v>0</v>
      </c>
      <c r="J114" s="301">
        <f t="shared" si="54"/>
        <v>0</v>
      </c>
      <c r="K114" s="301">
        <f t="shared" si="54"/>
        <v>0</v>
      </c>
    </row>
    <row r="115" spans="1:11" x14ac:dyDescent="0.35">
      <c r="A115" s="481">
        <v>50</v>
      </c>
      <c r="B115" s="468" t="s">
        <v>491</v>
      </c>
      <c r="C115" s="482">
        <v>227221</v>
      </c>
      <c r="D115" s="470" t="s">
        <v>308</v>
      </c>
      <c r="E115" s="471">
        <f>(2.13+2.94)/2</f>
        <v>2.54</v>
      </c>
      <c r="F115" s="308">
        <v>20</v>
      </c>
      <c r="G115" s="309"/>
      <c r="H115" s="303"/>
      <c r="I115" s="303"/>
      <c r="J115" s="303"/>
      <c r="K115" s="303"/>
    </row>
    <row r="116" spans="1:11" x14ac:dyDescent="0.35">
      <c r="A116" s="481"/>
      <c r="B116" s="468"/>
      <c r="C116" s="482"/>
      <c r="D116" s="470"/>
      <c r="E116" s="471"/>
      <c r="F116" s="311">
        <f>F115*$E$115</f>
        <v>50.8</v>
      </c>
      <c r="G116" s="312">
        <f t="shared" ref="G116:K116" si="55">G115*$E$115</f>
        <v>0</v>
      </c>
      <c r="H116" s="312">
        <f t="shared" si="55"/>
        <v>0</v>
      </c>
      <c r="I116" s="312">
        <f t="shared" si="55"/>
        <v>0</v>
      </c>
      <c r="J116" s="312">
        <f t="shared" si="55"/>
        <v>0</v>
      </c>
      <c r="K116" s="312">
        <f t="shared" si="55"/>
        <v>0</v>
      </c>
    </row>
    <row r="117" spans="1:11" x14ac:dyDescent="0.35">
      <c r="A117" s="472">
        <v>51</v>
      </c>
      <c r="B117" s="474" t="s">
        <v>492</v>
      </c>
      <c r="C117" s="476">
        <v>244285</v>
      </c>
      <c r="D117" s="478" t="s">
        <v>308</v>
      </c>
      <c r="E117" s="471">
        <v>5.74</v>
      </c>
      <c r="F117" s="313">
        <v>0</v>
      </c>
      <c r="G117" s="314"/>
      <c r="H117" s="307"/>
      <c r="I117" s="307"/>
      <c r="J117" s="307"/>
      <c r="K117" s="307"/>
    </row>
    <row r="118" spans="1:11" x14ac:dyDescent="0.35">
      <c r="A118" s="472"/>
      <c r="B118" s="474"/>
      <c r="C118" s="476"/>
      <c r="D118" s="483"/>
      <c r="E118" s="471"/>
      <c r="F118" s="315">
        <f t="shared" ref="F118:K118" si="56">F117*$E$117</f>
        <v>0</v>
      </c>
      <c r="G118" s="316">
        <f t="shared" si="56"/>
        <v>0</v>
      </c>
      <c r="H118" s="301">
        <f t="shared" si="56"/>
        <v>0</v>
      </c>
      <c r="I118" s="301">
        <f t="shared" si="56"/>
        <v>0</v>
      </c>
      <c r="J118" s="301">
        <f t="shared" si="56"/>
        <v>0</v>
      </c>
      <c r="K118" s="301">
        <f t="shared" si="56"/>
        <v>0</v>
      </c>
    </row>
    <row r="119" spans="1:11" x14ac:dyDescent="0.35">
      <c r="A119" s="481">
        <v>52</v>
      </c>
      <c r="B119" s="468" t="s">
        <v>493</v>
      </c>
      <c r="C119" s="469">
        <v>419187</v>
      </c>
      <c r="D119" s="470" t="s">
        <v>308</v>
      </c>
      <c r="E119" s="471">
        <v>6.35</v>
      </c>
      <c r="F119" s="327">
        <v>0</v>
      </c>
      <c r="G119" s="328"/>
      <c r="H119" s="323"/>
      <c r="I119" s="323"/>
      <c r="J119" s="323"/>
      <c r="K119" s="323"/>
    </row>
    <row r="120" spans="1:11" x14ac:dyDescent="0.35">
      <c r="A120" s="481"/>
      <c r="B120" s="468"/>
      <c r="C120" s="469"/>
      <c r="D120" s="470"/>
      <c r="E120" s="471"/>
      <c r="F120" s="311">
        <f t="shared" ref="F120:K120" si="57">F119*$E$119</f>
        <v>0</v>
      </c>
      <c r="G120" s="312">
        <f t="shared" si="57"/>
        <v>0</v>
      </c>
      <c r="H120" s="305">
        <f t="shared" si="57"/>
        <v>0</v>
      </c>
      <c r="I120" s="305">
        <f t="shared" si="57"/>
        <v>0</v>
      </c>
      <c r="J120" s="305">
        <f t="shared" si="57"/>
        <v>0</v>
      </c>
      <c r="K120" s="305">
        <f t="shared" si="57"/>
        <v>0</v>
      </c>
    </row>
    <row r="121" spans="1:11" x14ac:dyDescent="0.35">
      <c r="A121" s="472">
        <v>53</v>
      </c>
      <c r="B121" s="474" t="s">
        <v>494</v>
      </c>
      <c r="C121" s="476">
        <v>322637</v>
      </c>
      <c r="D121" s="478" t="s">
        <v>308</v>
      </c>
      <c r="E121" s="471">
        <v>6.66</v>
      </c>
      <c r="F121" s="313">
        <v>0</v>
      </c>
      <c r="G121" s="314"/>
      <c r="H121" s="307"/>
      <c r="I121" s="307"/>
      <c r="J121" s="307"/>
      <c r="K121" s="307"/>
    </row>
    <row r="122" spans="1:11" ht="15" thickBot="1" x14ac:dyDescent="0.4">
      <c r="A122" s="473"/>
      <c r="B122" s="475"/>
      <c r="C122" s="477"/>
      <c r="D122" s="479"/>
      <c r="E122" s="480"/>
      <c r="F122" s="331">
        <f>F121*$E$121</f>
        <v>0</v>
      </c>
      <c r="G122" s="332">
        <f t="shared" ref="G122:K122" si="58">G121*$E$121</f>
        <v>0</v>
      </c>
      <c r="H122" s="332">
        <f t="shared" si="58"/>
        <v>0</v>
      </c>
      <c r="I122" s="332">
        <f t="shared" si="58"/>
        <v>0</v>
      </c>
      <c r="J122" s="332">
        <f t="shared" si="58"/>
        <v>0</v>
      </c>
      <c r="K122" s="332">
        <f t="shared" si="58"/>
        <v>0</v>
      </c>
    </row>
    <row r="123" spans="1:11" ht="15" thickBot="1" x14ac:dyDescent="0.4">
      <c r="A123" s="294"/>
      <c r="B123" s="333"/>
      <c r="C123" s="333"/>
      <c r="D123" s="484" t="s">
        <v>93</v>
      </c>
      <c r="E123" s="485"/>
      <c r="F123" s="334">
        <f>SUM(F6+F8+F10+F12+F14+F16+F30+F32+F36+F38+F42+F40+F46+F52+F50+F48+F56+F98+F118+F120+F114+F74+F34+F44+F54+F58+F60+F62+F64+F66+F68+F70+F72+F76+F78+F80+F82+F84+F86+F88+F90+F92+F94+F96+F112+F116+F122+F100+F102+F104+F106+F108+F110)</f>
        <v>6729.21</v>
      </c>
      <c r="G123" s="334">
        <f>SUM(G6+G8+G10+G12+G14+G16+G30+G32+G36+G38+G42+G40+G46+G52+G50+G48+G56+G98+G118+G120+G114+G74+G34+G44+G54+G58+G60+G62+G64+G66+G68+G70+G72+G76+G78+G80+G82+G84+G86+G88+G90+G92+G94+G96+G112+G116+G122+G100+G102+G104+G106+G108+G110)</f>
        <v>1570.08</v>
      </c>
      <c r="H123" s="334">
        <f t="shared" ref="H123:K123" si="59">SUM(H6+H8+H10+H12+H14+H16+H30+H32+H36+H38+H42+H40+H46+H52+H50+H48+H56+H98+H118+H120+H114+H74+H34+H44+H54+H58+H60+H62+H64+H66+H68+H70+H72+H76+H78+H80+H82+H84+H86+H88+H90+H92+H94+H96+H112+H116+H122+H100+H102+H104+H106+H108+H110)</f>
        <v>2077.9699999999998</v>
      </c>
      <c r="I123" s="334">
        <f t="shared" si="59"/>
        <v>847.63</v>
      </c>
      <c r="J123" s="334">
        <f t="shared" si="59"/>
        <v>1320.44</v>
      </c>
      <c r="K123" s="334">
        <f t="shared" si="59"/>
        <v>833.67</v>
      </c>
    </row>
    <row r="124" spans="1:11" ht="15" thickBot="1" x14ac:dyDescent="0.4">
      <c r="D124" s="487" t="s">
        <v>323</v>
      </c>
      <c r="E124" s="488"/>
      <c r="F124" s="335">
        <v>11</v>
      </c>
      <c r="G124" s="336">
        <v>2</v>
      </c>
      <c r="H124" s="336">
        <v>5</v>
      </c>
      <c r="I124" s="336">
        <v>2</v>
      </c>
      <c r="J124" s="336">
        <v>3</v>
      </c>
      <c r="K124" s="337">
        <v>3</v>
      </c>
    </row>
    <row r="125" spans="1:11" ht="15" thickBot="1" x14ac:dyDescent="0.4">
      <c r="D125" s="490" t="s">
        <v>383</v>
      </c>
      <c r="E125" s="491"/>
      <c r="F125" s="338">
        <f>F123/F124</f>
        <v>611.75</v>
      </c>
      <c r="G125" s="339">
        <f t="shared" ref="G125" si="60">G123/G124</f>
        <v>785.04</v>
      </c>
      <c r="H125" s="339">
        <f>H123/H124</f>
        <v>415.59</v>
      </c>
      <c r="I125" s="339">
        <f t="shared" ref="I125:J125" si="61">I123/I124</f>
        <v>423.82</v>
      </c>
      <c r="J125" s="340">
        <f t="shared" si="61"/>
        <v>440.15</v>
      </c>
      <c r="K125" s="340">
        <f t="shared" ref="K125" si="62">K123/K124</f>
        <v>277.89</v>
      </c>
    </row>
    <row r="126" spans="1:11" ht="48.75" customHeight="1" thickBot="1" x14ac:dyDescent="0.4"/>
    <row r="127" spans="1:11" ht="16.5" customHeight="1" thickBot="1" x14ac:dyDescent="0.4">
      <c r="A127" s="495" t="s">
        <v>466</v>
      </c>
      <c r="B127" s="496"/>
      <c r="C127" s="496"/>
      <c r="D127" s="496"/>
      <c r="E127" s="496"/>
      <c r="F127" s="496"/>
      <c r="G127" s="497"/>
    </row>
    <row r="128" spans="1:11" ht="15" thickBot="1" x14ac:dyDescent="0.4">
      <c r="A128" s="501" t="s">
        <v>303</v>
      </c>
      <c r="B128" s="503" t="s">
        <v>304</v>
      </c>
      <c r="C128" s="503" t="s">
        <v>254</v>
      </c>
      <c r="D128" s="503" t="s">
        <v>305</v>
      </c>
      <c r="E128" s="505" t="s">
        <v>306</v>
      </c>
      <c r="F128" s="341" t="s">
        <v>0</v>
      </c>
      <c r="G128" s="493" t="s">
        <v>11</v>
      </c>
    </row>
    <row r="129" spans="1:8" ht="15" thickBot="1" x14ac:dyDescent="0.4">
      <c r="A129" s="502"/>
      <c r="B129" s="504"/>
      <c r="C129" s="504"/>
      <c r="D129" s="504"/>
      <c r="E129" s="506"/>
      <c r="F129" s="342" t="s">
        <v>517</v>
      </c>
      <c r="G129" s="494"/>
    </row>
    <row r="130" spans="1:8" ht="27" x14ac:dyDescent="0.35">
      <c r="A130" s="343">
        <v>1</v>
      </c>
      <c r="B130" s="344" t="s">
        <v>496</v>
      </c>
      <c r="C130" s="345">
        <v>331905</v>
      </c>
      <c r="D130" s="346" t="s">
        <v>311</v>
      </c>
      <c r="E130" s="223">
        <v>7.97</v>
      </c>
      <c r="F130" s="347">
        <v>5</v>
      </c>
      <c r="G130" s="348">
        <f>F130*E130</f>
        <v>39.85</v>
      </c>
      <c r="H130" s="349"/>
    </row>
    <row r="131" spans="1:8" ht="27" x14ac:dyDescent="0.35">
      <c r="A131" s="350">
        <v>2</v>
      </c>
      <c r="B131" s="351" t="s">
        <v>467</v>
      </c>
      <c r="C131" s="352">
        <v>17396</v>
      </c>
      <c r="D131" s="353" t="s">
        <v>479</v>
      </c>
      <c r="E131" s="224">
        <v>16.55</v>
      </c>
      <c r="F131" s="354">
        <v>5</v>
      </c>
      <c r="G131" s="355">
        <f t="shared" ref="G131:G141" si="63">F131*E131</f>
        <v>82.75</v>
      </c>
      <c r="H131" s="349"/>
    </row>
    <row r="132" spans="1:8" x14ac:dyDescent="0.35">
      <c r="A132" s="356">
        <v>3</v>
      </c>
      <c r="B132" s="357" t="s">
        <v>468</v>
      </c>
      <c r="C132" s="358">
        <v>245704</v>
      </c>
      <c r="D132" s="359" t="s">
        <v>311</v>
      </c>
      <c r="E132" s="224">
        <v>21.07</v>
      </c>
      <c r="F132" s="360">
        <v>5</v>
      </c>
      <c r="G132" s="361">
        <f t="shared" si="63"/>
        <v>105.35</v>
      </c>
      <c r="H132" s="349"/>
    </row>
    <row r="133" spans="1:8" x14ac:dyDescent="0.35">
      <c r="A133" s="362">
        <v>4</v>
      </c>
      <c r="B133" s="363" t="s">
        <v>469</v>
      </c>
      <c r="C133" s="352">
        <v>279310</v>
      </c>
      <c r="D133" s="353" t="s">
        <v>308</v>
      </c>
      <c r="E133" s="224">
        <v>5.65</v>
      </c>
      <c r="F133" s="354">
        <v>2</v>
      </c>
      <c r="G133" s="355">
        <f t="shared" si="63"/>
        <v>11.3</v>
      </c>
      <c r="H133" s="349"/>
    </row>
    <row r="134" spans="1:8" ht="27" x14ac:dyDescent="0.35">
      <c r="A134" s="364">
        <v>5</v>
      </c>
      <c r="B134" s="365" t="s">
        <v>470</v>
      </c>
      <c r="C134" s="366">
        <f>C27</f>
        <v>419326</v>
      </c>
      <c r="D134" s="359" t="s">
        <v>308</v>
      </c>
      <c r="E134" s="228">
        <f>E27</f>
        <v>0.69</v>
      </c>
      <c r="F134" s="360">
        <v>5</v>
      </c>
      <c r="G134" s="361">
        <f t="shared" si="63"/>
        <v>3.45</v>
      </c>
      <c r="H134" s="349" t="s">
        <v>497</v>
      </c>
    </row>
    <row r="135" spans="1:8" x14ac:dyDescent="0.35">
      <c r="A135" s="362">
        <v>6</v>
      </c>
      <c r="B135" s="363" t="s">
        <v>471</v>
      </c>
      <c r="C135" s="352">
        <v>448266</v>
      </c>
      <c r="D135" s="353" t="s">
        <v>308</v>
      </c>
      <c r="E135" s="224">
        <v>10.53</v>
      </c>
      <c r="F135" s="354">
        <v>10</v>
      </c>
      <c r="G135" s="355">
        <f t="shared" si="63"/>
        <v>105.3</v>
      </c>
      <c r="H135" s="349"/>
    </row>
    <row r="136" spans="1:8" x14ac:dyDescent="0.35">
      <c r="A136" s="364">
        <v>7</v>
      </c>
      <c r="B136" s="365" t="s">
        <v>472</v>
      </c>
      <c r="C136" s="366">
        <f>C43</f>
        <v>277505</v>
      </c>
      <c r="D136" s="367" t="s">
        <v>319</v>
      </c>
      <c r="E136" s="228">
        <f>E43</f>
        <v>5.51</v>
      </c>
      <c r="F136" s="360">
        <v>2</v>
      </c>
      <c r="G136" s="361">
        <f t="shared" si="63"/>
        <v>11.02</v>
      </c>
      <c r="H136" s="349" t="s">
        <v>498</v>
      </c>
    </row>
    <row r="137" spans="1:8" x14ac:dyDescent="0.35">
      <c r="A137" s="350">
        <v>8</v>
      </c>
      <c r="B137" s="363" t="s">
        <v>473</v>
      </c>
      <c r="C137" s="352">
        <f>C45</f>
        <v>420505</v>
      </c>
      <c r="D137" s="353" t="s">
        <v>308</v>
      </c>
      <c r="E137" s="227">
        <f>E45</f>
        <v>1.93</v>
      </c>
      <c r="F137" s="354">
        <v>10</v>
      </c>
      <c r="G137" s="355">
        <f t="shared" si="63"/>
        <v>19.3</v>
      </c>
      <c r="H137" s="349" t="s">
        <v>499</v>
      </c>
    </row>
    <row r="138" spans="1:8" x14ac:dyDescent="0.35">
      <c r="A138" s="356">
        <v>9</v>
      </c>
      <c r="B138" s="368" t="s">
        <v>474</v>
      </c>
      <c r="C138" s="366">
        <v>478331</v>
      </c>
      <c r="D138" s="359" t="s">
        <v>310</v>
      </c>
      <c r="E138" s="224">
        <v>16.23</v>
      </c>
      <c r="F138" s="360">
        <v>5</v>
      </c>
      <c r="G138" s="361">
        <f t="shared" si="63"/>
        <v>81.150000000000006</v>
      </c>
      <c r="H138" s="349"/>
    </row>
    <row r="139" spans="1:8" x14ac:dyDescent="0.35">
      <c r="A139" s="350">
        <v>10</v>
      </c>
      <c r="B139" s="363" t="s">
        <v>475</v>
      </c>
      <c r="C139" s="352">
        <f>C63</f>
        <v>357462</v>
      </c>
      <c r="D139" s="353" t="s">
        <v>308</v>
      </c>
      <c r="E139" s="227">
        <f>E63</f>
        <v>3.71</v>
      </c>
      <c r="F139" s="354">
        <v>5</v>
      </c>
      <c r="G139" s="355">
        <f t="shared" si="63"/>
        <v>18.55</v>
      </c>
      <c r="H139" s="349" t="s">
        <v>500</v>
      </c>
    </row>
    <row r="140" spans="1:8" x14ac:dyDescent="0.35">
      <c r="A140" s="356">
        <v>11</v>
      </c>
      <c r="B140" s="365" t="s">
        <v>476</v>
      </c>
      <c r="C140" s="358">
        <v>342233</v>
      </c>
      <c r="D140" s="359" t="s">
        <v>310</v>
      </c>
      <c r="E140" s="224">
        <v>10.83</v>
      </c>
      <c r="F140" s="360">
        <v>5</v>
      </c>
      <c r="G140" s="361">
        <f t="shared" si="63"/>
        <v>54.15</v>
      </c>
      <c r="H140" s="349"/>
    </row>
    <row r="141" spans="1:8" ht="15" thickBot="1" x14ac:dyDescent="0.4">
      <c r="A141" s="369">
        <v>12</v>
      </c>
      <c r="B141" s="370" t="s">
        <v>477</v>
      </c>
      <c r="C141" s="371"/>
      <c r="D141" s="372" t="s">
        <v>310</v>
      </c>
      <c r="E141" s="225">
        <v>5.78</v>
      </c>
      <c r="F141" s="373">
        <v>30</v>
      </c>
      <c r="G141" s="374">
        <f t="shared" si="63"/>
        <v>173.4</v>
      </c>
      <c r="H141" s="349"/>
    </row>
    <row r="142" spans="1:8" ht="15" thickBot="1" x14ac:dyDescent="0.4">
      <c r="D142" s="484" t="s">
        <v>93</v>
      </c>
      <c r="E142" s="485"/>
      <c r="F142" s="486"/>
      <c r="G142" s="375">
        <f>SUM(G130:G141)</f>
        <v>705.57</v>
      </c>
    </row>
    <row r="143" spans="1:8" ht="15.75" customHeight="1" thickBot="1" x14ac:dyDescent="0.4">
      <c r="D143" s="487" t="s">
        <v>323</v>
      </c>
      <c r="E143" s="488"/>
      <c r="F143" s="489"/>
      <c r="G143" s="376">
        <f>'SR - Lavador'!C11</f>
        <v>2</v>
      </c>
    </row>
    <row r="144" spans="1:8" ht="15.75" customHeight="1" thickBot="1" x14ac:dyDescent="0.4">
      <c r="D144" s="490" t="s">
        <v>383</v>
      </c>
      <c r="E144" s="491"/>
      <c r="F144" s="492"/>
      <c r="G144" s="377">
        <f>G142/G143</f>
        <v>352.79</v>
      </c>
    </row>
  </sheetData>
  <protectedRanges>
    <protectedRange sqref="E5:E122 E130:E141" name="Intervalo1_1"/>
  </protectedRanges>
  <mergeCells count="315">
    <mergeCell ref="A97:A98"/>
    <mergeCell ref="B97:B98"/>
    <mergeCell ref="C97:C98"/>
    <mergeCell ref="D97:D98"/>
    <mergeCell ref="E97:E98"/>
    <mergeCell ref="A89:A90"/>
    <mergeCell ref="B89:B90"/>
    <mergeCell ref="C89:C90"/>
    <mergeCell ref="D89:D90"/>
    <mergeCell ref="E89:E90"/>
    <mergeCell ref="A91:A92"/>
    <mergeCell ref="B91:B92"/>
    <mergeCell ref="A95:A96"/>
    <mergeCell ref="B95:B96"/>
    <mergeCell ref="C95:C96"/>
    <mergeCell ref="D95:D96"/>
    <mergeCell ref="E95:E96"/>
    <mergeCell ref="B119:B120"/>
    <mergeCell ref="C119:C120"/>
    <mergeCell ref="D119:D120"/>
    <mergeCell ref="E119:E120"/>
    <mergeCell ref="A111:A112"/>
    <mergeCell ref="B111:B112"/>
    <mergeCell ref="C111:C112"/>
    <mergeCell ref="D111:D112"/>
    <mergeCell ref="E111:E112"/>
    <mergeCell ref="A71:A72"/>
    <mergeCell ref="B71:B72"/>
    <mergeCell ref="C71:C72"/>
    <mergeCell ref="D71:D72"/>
    <mergeCell ref="E71:E72"/>
    <mergeCell ref="C87:C88"/>
    <mergeCell ref="D87:D88"/>
    <mergeCell ref="E87:E88"/>
    <mergeCell ref="A121:A122"/>
    <mergeCell ref="B121:B122"/>
    <mergeCell ref="C121:C122"/>
    <mergeCell ref="D121:D122"/>
    <mergeCell ref="E121:E122"/>
    <mergeCell ref="A115:A116"/>
    <mergeCell ref="B115:B116"/>
    <mergeCell ref="C115:C116"/>
    <mergeCell ref="D115:D116"/>
    <mergeCell ref="E115:E116"/>
    <mergeCell ref="A117:A118"/>
    <mergeCell ref="B117:B118"/>
    <mergeCell ref="C117:C118"/>
    <mergeCell ref="D117:D118"/>
    <mergeCell ref="E117:E118"/>
    <mergeCell ref="A119:A120"/>
    <mergeCell ref="D79:D80"/>
    <mergeCell ref="E79:E80"/>
    <mergeCell ref="A81:A82"/>
    <mergeCell ref="B81:B82"/>
    <mergeCell ref="C81:C82"/>
    <mergeCell ref="D81:D82"/>
    <mergeCell ref="E81:E82"/>
    <mergeCell ref="B93:B94"/>
    <mergeCell ref="C93:C94"/>
    <mergeCell ref="D93:D94"/>
    <mergeCell ref="E93:E94"/>
    <mergeCell ref="C91:C92"/>
    <mergeCell ref="D91:D92"/>
    <mergeCell ref="E91:E92"/>
    <mergeCell ref="A93:A94"/>
    <mergeCell ref="A85:A86"/>
    <mergeCell ref="B85:B86"/>
    <mergeCell ref="C85:C86"/>
    <mergeCell ref="B79:B80"/>
    <mergeCell ref="D85:D86"/>
    <mergeCell ref="E85:E86"/>
    <mergeCell ref="A87:A88"/>
    <mergeCell ref="B87:B88"/>
    <mergeCell ref="A57:A58"/>
    <mergeCell ref="B57:B58"/>
    <mergeCell ref="C57:C58"/>
    <mergeCell ref="D57:D58"/>
    <mergeCell ref="E57:E58"/>
    <mergeCell ref="A59:A60"/>
    <mergeCell ref="B59:B60"/>
    <mergeCell ref="C59:C60"/>
    <mergeCell ref="D59:D60"/>
    <mergeCell ref="E59:E60"/>
    <mergeCell ref="D125:E125"/>
    <mergeCell ref="A7:A8"/>
    <mergeCell ref="B7:B8"/>
    <mergeCell ref="C7:C8"/>
    <mergeCell ref="D7:D8"/>
    <mergeCell ref="E7:E8"/>
    <mergeCell ref="B33:B34"/>
    <mergeCell ref="E33:E34"/>
    <mergeCell ref="A113:A114"/>
    <mergeCell ref="B113:B114"/>
    <mergeCell ref="C113:C114"/>
    <mergeCell ref="D113:D114"/>
    <mergeCell ref="E113:E114"/>
    <mergeCell ref="A73:A74"/>
    <mergeCell ref="B73:B74"/>
    <mergeCell ref="C73:C74"/>
    <mergeCell ref="E43:E44"/>
    <mergeCell ref="A53:A54"/>
    <mergeCell ref="B53:B54"/>
    <mergeCell ref="C53:C54"/>
    <mergeCell ref="D53:D54"/>
    <mergeCell ref="E53:E54"/>
    <mergeCell ref="D33:D34"/>
    <mergeCell ref="C33:C34"/>
    <mergeCell ref="A3:A4"/>
    <mergeCell ref="B3:B4"/>
    <mergeCell ref="C3:C4"/>
    <mergeCell ref="D3:D4"/>
    <mergeCell ref="E3:E4"/>
    <mergeCell ref="F3:K3"/>
    <mergeCell ref="D123:E123"/>
    <mergeCell ref="D124:E124"/>
    <mergeCell ref="A33:A34"/>
    <mergeCell ref="A43:A44"/>
    <mergeCell ref="B43:B44"/>
    <mergeCell ref="C43:C44"/>
    <mergeCell ref="D43:D44"/>
    <mergeCell ref="A45:A46"/>
    <mergeCell ref="B45:B46"/>
    <mergeCell ref="C45:C46"/>
    <mergeCell ref="D45:D46"/>
    <mergeCell ref="E45:E46"/>
    <mergeCell ref="A39:A40"/>
    <mergeCell ref="B39:B40"/>
    <mergeCell ref="C39:C40"/>
    <mergeCell ref="D39:D40"/>
    <mergeCell ref="E39:E40"/>
    <mergeCell ref="E63:E64"/>
    <mergeCell ref="A69:A70"/>
    <mergeCell ref="B69:B70"/>
    <mergeCell ref="C69:C70"/>
    <mergeCell ref="D69:D70"/>
    <mergeCell ref="E69:E70"/>
    <mergeCell ref="A83:A84"/>
    <mergeCell ref="B83:B84"/>
    <mergeCell ref="C83:C84"/>
    <mergeCell ref="D83:D84"/>
    <mergeCell ref="E83:E84"/>
    <mergeCell ref="A77:A78"/>
    <mergeCell ref="B77:B78"/>
    <mergeCell ref="C77:C78"/>
    <mergeCell ref="D77:D78"/>
    <mergeCell ref="E77:E78"/>
    <mergeCell ref="D73:D74"/>
    <mergeCell ref="E73:E74"/>
    <mergeCell ref="A75:A76"/>
    <mergeCell ref="B75:B76"/>
    <mergeCell ref="C75:C76"/>
    <mergeCell ref="D75:D76"/>
    <mergeCell ref="E75:E76"/>
    <mergeCell ref="A79:A80"/>
    <mergeCell ref="C79:C80"/>
    <mergeCell ref="A67:A68"/>
    <mergeCell ref="B67:B68"/>
    <mergeCell ref="C67:C68"/>
    <mergeCell ref="D67:D68"/>
    <mergeCell ref="E67:E68"/>
    <mergeCell ref="A55:A56"/>
    <mergeCell ref="B55:B56"/>
    <mergeCell ref="C55:C56"/>
    <mergeCell ref="D55:D56"/>
    <mergeCell ref="E55:E56"/>
    <mergeCell ref="A61:A62"/>
    <mergeCell ref="B61:B62"/>
    <mergeCell ref="C61:C62"/>
    <mergeCell ref="D61:D62"/>
    <mergeCell ref="E61:E62"/>
    <mergeCell ref="A65:A66"/>
    <mergeCell ref="B65:B66"/>
    <mergeCell ref="C65:C66"/>
    <mergeCell ref="D65:D66"/>
    <mergeCell ref="E65:E66"/>
    <mergeCell ref="A63:A64"/>
    <mergeCell ref="B63:B64"/>
    <mergeCell ref="C63:C64"/>
    <mergeCell ref="D63:D64"/>
    <mergeCell ref="A47:A48"/>
    <mergeCell ref="B47:B48"/>
    <mergeCell ref="C47:C48"/>
    <mergeCell ref="D47:D48"/>
    <mergeCell ref="E47:E48"/>
    <mergeCell ref="A51:A52"/>
    <mergeCell ref="B51:B52"/>
    <mergeCell ref="C51:C52"/>
    <mergeCell ref="D51:D52"/>
    <mergeCell ref="E51:E52"/>
    <mergeCell ref="A49:A50"/>
    <mergeCell ref="B49:B50"/>
    <mergeCell ref="C49:C50"/>
    <mergeCell ref="D49:D50"/>
    <mergeCell ref="E49:E50"/>
    <mergeCell ref="B41:B42"/>
    <mergeCell ref="C41:C42"/>
    <mergeCell ref="D41:D42"/>
    <mergeCell ref="E41:E42"/>
    <mergeCell ref="E37:E38"/>
    <mergeCell ref="A37:A38"/>
    <mergeCell ref="B37:B38"/>
    <mergeCell ref="C37:C38"/>
    <mergeCell ref="D37:D38"/>
    <mergeCell ref="A41:A42"/>
    <mergeCell ref="D25:D26"/>
    <mergeCell ref="A31:A32"/>
    <mergeCell ref="B31:B32"/>
    <mergeCell ref="C31:C32"/>
    <mergeCell ref="D31:D32"/>
    <mergeCell ref="E31:E32"/>
    <mergeCell ref="A35:A36"/>
    <mergeCell ref="B35:B36"/>
    <mergeCell ref="C35:C36"/>
    <mergeCell ref="D35:D36"/>
    <mergeCell ref="E35:E36"/>
    <mergeCell ref="A21:A22"/>
    <mergeCell ref="B21:B22"/>
    <mergeCell ref="C21:C22"/>
    <mergeCell ref="D21:D22"/>
    <mergeCell ref="E21:E22"/>
    <mergeCell ref="A23:A24"/>
    <mergeCell ref="B23:B24"/>
    <mergeCell ref="C23:C24"/>
    <mergeCell ref="D23:D24"/>
    <mergeCell ref="E23:E24"/>
    <mergeCell ref="D11:D12"/>
    <mergeCell ref="E11:E12"/>
    <mergeCell ref="A13:A14"/>
    <mergeCell ref="B13:B14"/>
    <mergeCell ref="C13:C14"/>
    <mergeCell ref="D13:D14"/>
    <mergeCell ref="E13:E14"/>
    <mergeCell ref="A15:A16"/>
    <mergeCell ref="B15:B16"/>
    <mergeCell ref="C15:C16"/>
    <mergeCell ref="D15:D16"/>
    <mergeCell ref="E15:E16"/>
    <mergeCell ref="B1:J1"/>
    <mergeCell ref="A17:A18"/>
    <mergeCell ref="B17:B18"/>
    <mergeCell ref="C17:C18"/>
    <mergeCell ref="D17:D18"/>
    <mergeCell ref="E17:E18"/>
    <mergeCell ref="A19:A20"/>
    <mergeCell ref="B19:B20"/>
    <mergeCell ref="C19:C20"/>
    <mergeCell ref="D19:D20"/>
    <mergeCell ref="E19:E20"/>
    <mergeCell ref="A5:A6"/>
    <mergeCell ref="B5:B6"/>
    <mergeCell ref="C5:C6"/>
    <mergeCell ref="D5:D6"/>
    <mergeCell ref="E5:E6"/>
    <mergeCell ref="A9:A10"/>
    <mergeCell ref="B9:B10"/>
    <mergeCell ref="C9:C10"/>
    <mergeCell ref="D9:D10"/>
    <mergeCell ref="E9:E10"/>
    <mergeCell ref="A11:A12"/>
    <mergeCell ref="B11:B12"/>
    <mergeCell ref="C11:C12"/>
    <mergeCell ref="D142:F142"/>
    <mergeCell ref="D143:F143"/>
    <mergeCell ref="D144:F144"/>
    <mergeCell ref="G128:G129"/>
    <mergeCell ref="A127:G127"/>
    <mergeCell ref="E25:E26"/>
    <mergeCell ref="A27:A28"/>
    <mergeCell ref="B27:B28"/>
    <mergeCell ref="C27:C28"/>
    <mergeCell ref="D27:D28"/>
    <mergeCell ref="E27:E28"/>
    <mergeCell ref="A128:A129"/>
    <mergeCell ref="B128:B129"/>
    <mergeCell ref="C128:C129"/>
    <mergeCell ref="D128:D129"/>
    <mergeCell ref="E128:E129"/>
    <mergeCell ref="A29:A30"/>
    <mergeCell ref="B29:B30"/>
    <mergeCell ref="C29:C30"/>
    <mergeCell ref="D29:D30"/>
    <mergeCell ref="E29:E30"/>
    <mergeCell ref="A25:A26"/>
    <mergeCell ref="B25:B26"/>
    <mergeCell ref="C25:C26"/>
    <mergeCell ref="A103:A104"/>
    <mergeCell ref="B103:B104"/>
    <mergeCell ref="C103:C104"/>
    <mergeCell ref="D103:D104"/>
    <mergeCell ref="E103:E104"/>
    <mergeCell ref="A105:A106"/>
    <mergeCell ref="B105:B106"/>
    <mergeCell ref="C105:C106"/>
    <mergeCell ref="D105:D106"/>
    <mergeCell ref="E105:E106"/>
    <mergeCell ref="A99:A100"/>
    <mergeCell ref="B99:B100"/>
    <mergeCell ref="C99:C100"/>
    <mergeCell ref="D99:D100"/>
    <mergeCell ref="E99:E100"/>
    <mergeCell ref="A101:A102"/>
    <mergeCell ref="B101:B102"/>
    <mergeCell ref="C101:C102"/>
    <mergeCell ref="D101:D102"/>
    <mergeCell ref="E101:E102"/>
    <mergeCell ref="B107:B108"/>
    <mergeCell ref="C107:C108"/>
    <mergeCell ref="D107:D108"/>
    <mergeCell ref="E107:E108"/>
    <mergeCell ref="A109:A110"/>
    <mergeCell ref="B109:B110"/>
    <mergeCell ref="C109:C110"/>
    <mergeCell ref="D109:D110"/>
    <mergeCell ref="E109:E110"/>
    <mergeCell ref="A107:A108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21DB7F-5658-4438-9A2B-94099094B0E7}">
  <sheetPr codeName="Planilha6">
    <tabColor theme="7" tint="-0.249977111117893"/>
  </sheetPr>
  <dimension ref="A2:L145"/>
  <sheetViews>
    <sheetView zoomScale="75" zoomScaleNormal="75" workbookViewId="0">
      <pane xSplit="6" ySplit="4" topLeftCell="G117" activePane="bottomRight" state="frozen"/>
      <selection pane="topRight" activeCell="G1" sqref="G1"/>
      <selection pane="bottomLeft" activeCell="A5" sqref="A5"/>
      <selection pane="bottomRight" activeCell="AA142" sqref="AA142"/>
    </sheetView>
  </sheetViews>
  <sheetFormatPr defaultColWidth="9.1796875" defaultRowHeight="14.5" x14ac:dyDescent="0.35"/>
  <cols>
    <col min="1" max="1" width="5.81640625" style="193" customWidth="1"/>
    <col min="2" max="2" width="60.26953125" style="193" customWidth="1"/>
    <col min="3" max="4" width="12.7265625" style="204" customWidth="1"/>
    <col min="5" max="5" width="14.453125" style="204" customWidth="1"/>
    <col min="6" max="6" width="12.1796875" style="193" bestFit="1" customWidth="1"/>
    <col min="7" max="7" width="10.453125" style="193" bestFit="1" customWidth="1"/>
    <col min="8" max="8" width="10" style="193" bestFit="1" customWidth="1"/>
    <col min="9" max="9" width="9.54296875" style="193" bestFit="1" customWidth="1"/>
    <col min="10" max="10" width="9.26953125" style="193" bestFit="1" customWidth="1"/>
    <col min="11" max="12" width="10" style="193" bestFit="1" customWidth="1"/>
    <col min="13" max="16384" width="9.1796875" style="193"/>
  </cols>
  <sheetData>
    <row r="2" spans="1:12" ht="15" thickBot="1" x14ac:dyDescent="0.4"/>
    <row r="3" spans="1:12" ht="15.75" customHeight="1" thickBot="1" x14ac:dyDescent="0.4">
      <c r="A3" s="574" t="s">
        <v>303</v>
      </c>
      <c r="B3" s="574" t="s">
        <v>330</v>
      </c>
      <c r="C3" s="574" t="s">
        <v>379</v>
      </c>
      <c r="D3" s="574" t="s">
        <v>254</v>
      </c>
      <c r="E3" s="574" t="s">
        <v>9</v>
      </c>
      <c r="F3" s="574" t="s">
        <v>380</v>
      </c>
      <c r="G3" s="580" t="s">
        <v>396</v>
      </c>
      <c r="H3" s="581"/>
      <c r="I3" s="581"/>
      <c r="J3" s="581"/>
      <c r="K3" s="581"/>
      <c r="L3" s="582"/>
    </row>
    <row r="4" spans="1:12" ht="15" thickBot="1" x14ac:dyDescent="0.4">
      <c r="A4" s="575"/>
      <c r="B4" s="575"/>
      <c r="C4" s="575"/>
      <c r="D4" s="575"/>
      <c r="E4" s="575"/>
      <c r="F4" s="575"/>
      <c r="G4" s="389" t="s">
        <v>517</v>
      </c>
      <c r="H4" s="389" t="s">
        <v>506</v>
      </c>
      <c r="I4" s="389" t="s">
        <v>507</v>
      </c>
      <c r="J4" s="389" t="s">
        <v>508</v>
      </c>
      <c r="K4" s="389" t="s">
        <v>509</v>
      </c>
      <c r="L4" s="389" t="s">
        <v>510</v>
      </c>
    </row>
    <row r="5" spans="1:12" x14ac:dyDescent="0.35">
      <c r="A5" s="543">
        <v>1</v>
      </c>
      <c r="B5" s="545" t="s">
        <v>403</v>
      </c>
      <c r="C5" s="547" t="s">
        <v>381</v>
      </c>
      <c r="D5" s="549">
        <v>451680</v>
      </c>
      <c r="E5" s="551">
        <v>120</v>
      </c>
      <c r="F5" s="553">
        <v>360.71</v>
      </c>
      <c r="G5" s="390">
        <v>2</v>
      </c>
      <c r="H5" s="391">
        <v>1</v>
      </c>
      <c r="I5" s="391">
        <v>1</v>
      </c>
      <c r="J5" s="391">
        <v>1</v>
      </c>
      <c r="K5" s="391">
        <v>1</v>
      </c>
      <c r="L5" s="391">
        <v>1</v>
      </c>
    </row>
    <row r="6" spans="1:12" ht="45.75" customHeight="1" thickBot="1" x14ac:dyDescent="0.4">
      <c r="A6" s="544"/>
      <c r="B6" s="546"/>
      <c r="C6" s="548"/>
      <c r="D6" s="550"/>
      <c r="E6" s="552"/>
      <c r="F6" s="554"/>
      <c r="G6" s="392">
        <f>G5*$F$5/$E$5</f>
        <v>6.01</v>
      </c>
      <c r="H6" s="393">
        <f>H5*$F$5/$E$5</f>
        <v>3.01</v>
      </c>
      <c r="I6" s="393">
        <f t="shared" ref="I6:L6" si="0">I5*$F$5/$E$5</f>
        <v>3.01</v>
      </c>
      <c r="J6" s="393">
        <f t="shared" si="0"/>
        <v>3.01</v>
      </c>
      <c r="K6" s="393">
        <f t="shared" si="0"/>
        <v>3.01</v>
      </c>
      <c r="L6" s="393">
        <f t="shared" si="0"/>
        <v>3.01</v>
      </c>
    </row>
    <row r="7" spans="1:12" x14ac:dyDescent="0.35">
      <c r="A7" s="543">
        <v>2</v>
      </c>
      <c r="B7" s="545" t="s">
        <v>402</v>
      </c>
      <c r="C7" s="547" t="s">
        <v>381</v>
      </c>
      <c r="D7" s="549">
        <v>443451</v>
      </c>
      <c r="E7" s="551">
        <v>60</v>
      </c>
      <c r="F7" s="553">
        <v>238.1</v>
      </c>
      <c r="G7" s="394">
        <v>15</v>
      </c>
      <c r="H7" s="395">
        <v>2</v>
      </c>
      <c r="I7" s="395">
        <v>2</v>
      </c>
      <c r="J7" s="395">
        <v>2</v>
      </c>
      <c r="K7" s="395">
        <v>2</v>
      </c>
      <c r="L7" s="395">
        <v>2</v>
      </c>
    </row>
    <row r="8" spans="1:12" ht="54" customHeight="1" thickBot="1" x14ac:dyDescent="0.4">
      <c r="A8" s="544"/>
      <c r="B8" s="546"/>
      <c r="C8" s="548"/>
      <c r="D8" s="550"/>
      <c r="E8" s="552"/>
      <c r="F8" s="554"/>
      <c r="G8" s="396">
        <f>G7*$F$7/$E$7</f>
        <v>59.53</v>
      </c>
      <c r="H8" s="397">
        <f t="shared" ref="H8:L8" si="1">H7*$F$7/$E$7</f>
        <v>7.94</v>
      </c>
      <c r="I8" s="397">
        <f t="shared" si="1"/>
        <v>7.94</v>
      </c>
      <c r="J8" s="397">
        <f t="shared" si="1"/>
        <v>7.94</v>
      </c>
      <c r="K8" s="397">
        <f t="shared" si="1"/>
        <v>7.94</v>
      </c>
      <c r="L8" s="397">
        <f t="shared" si="1"/>
        <v>7.94</v>
      </c>
    </row>
    <row r="9" spans="1:12" x14ac:dyDescent="0.35">
      <c r="A9" s="543">
        <v>3</v>
      </c>
      <c r="B9" s="545" t="s">
        <v>401</v>
      </c>
      <c r="C9" s="547" t="s">
        <v>381</v>
      </c>
      <c r="D9" s="549">
        <v>372442</v>
      </c>
      <c r="E9" s="551">
        <v>36</v>
      </c>
      <c r="F9" s="553">
        <v>9.17</v>
      </c>
      <c r="G9" s="390">
        <v>10</v>
      </c>
      <c r="H9" s="391">
        <v>2</v>
      </c>
      <c r="I9" s="391">
        <v>3</v>
      </c>
      <c r="J9" s="391">
        <v>2</v>
      </c>
      <c r="K9" s="391">
        <v>2</v>
      </c>
      <c r="L9" s="391">
        <v>3</v>
      </c>
    </row>
    <row r="10" spans="1:12" ht="15" thickBot="1" x14ac:dyDescent="0.4">
      <c r="A10" s="544"/>
      <c r="B10" s="546"/>
      <c r="C10" s="548"/>
      <c r="D10" s="550"/>
      <c r="E10" s="552"/>
      <c r="F10" s="554"/>
      <c r="G10" s="392">
        <f>G9*$F9/$E9</f>
        <v>2.5499999999999998</v>
      </c>
      <c r="H10" s="393">
        <f t="shared" ref="H10:L10" si="2">H9*$F$9/$E$9</f>
        <v>0.51</v>
      </c>
      <c r="I10" s="393">
        <f t="shared" si="2"/>
        <v>0.76</v>
      </c>
      <c r="J10" s="393">
        <f t="shared" si="2"/>
        <v>0.51</v>
      </c>
      <c r="K10" s="393">
        <f t="shared" si="2"/>
        <v>0.51</v>
      </c>
      <c r="L10" s="393">
        <f t="shared" si="2"/>
        <v>0.76</v>
      </c>
    </row>
    <row r="11" spans="1:12" ht="14.25" customHeight="1" x14ac:dyDescent="0.35">
      <c r="A11" s="543">
        <v>4</v>
      </c>
      <c r="B11" s="585" t="s">
        <v>400</v>
      </c>
      <c r="C11" s="547" t="s">
        <v>381</v>
      </c>
      <c r="D11" s="549">
        <v>321573</v>
      </c>
      <c r="E11" s="551">
        <v>36</v>
      </c>
      <c r="F11" s="553">
        <v>14.04</v>
      </c>
      <c r="G11" s="398">
        <v>10</v>
      </c>
      <c r="H11" s="399">
        <v>1</v>
      </c>
      <c r="I11" s="399">
        <v>0</v>
      </c>
      <c r="J11" s="399">
        <v>0</v>
      </c>
      <c r="K11" s="399">
        <v>0</v>
      </c>
      <c r="L11" s="399">
        <v>3</v>
      </c>
    </row>
    <row r="12" spans="1:12" ht="34.5" customHeight="1" thickBot="1" x14ac:dyDescent="0.4">
      <c r="A12" s="544"/>
      <c r="B12" s="586"/>
      <c r="C12" s="548"/>
      <c r="D12" s="550"/>
      <c r="E12" s="552"/>
      <c r="F12" s="554"/>
      <c r="G12" s="396">
        <f>G11*$F11/$E11</f>
        <v>3.9</v>
      </c>
      <c r="H12" s="397">
        <f t="shared" ref="H12:L12" si="3">H11*$F11/$E11</f>
        <v>0.39</v>
      </c>
      <c r="I12" s="397">
        <f t="shared" si="3"/>
        <v>0</v>
      </c>
      <c r="J12" s="397">
        <f t="shared" si="3"/>
        <v>0</v>
      </c>
      <c r="K12" s="397">
        <f t="shared" si="3"/>
        <v>0</v>
      </c>
      <c r="L12" s="397">
        <f t="shared" si="3"/>
        <v>1.17</v>
      </c>
    </row>
    <row r="13" spans="1:12" x14ac:dyDescent="0.35">
      <c r="A13" s="543">
        <v>5</v>
      </c>
      <c r="B13" s="545" t="s">
        <v>399</v>
      </c>
      <c r="C13" s="547" t="s">
        <v>381</v>
      </c>
      <c r="D13" s="549">
        <v>307461</v>
      </c>
      <c r="E13" s="551">
        <v>36</v>
      </c>
      <c r="F13" s="553">
        <v>6.61</v>
      </c>
      <c r="G13" s="400">
        <v>10</v>
      </c>
      <c r="H13" s="391">
        <v>2</v>
      </c>
      <c r="I13" s="391">
        <v>0</v>
      </c>
      <c r="J13" s="391">
        <v>0</v>
      </c>
      <c r="K13" s="391">
        <v>0</v>
      </c>
      <c r="L13" s="391">
        <v>2</v>
      </c>
    </row>
    <row r="14" spans="1:12" ht="15" thickBot="1" x14ac:dyDescent="0.4">
      <c r="A14" s="544"/>
      <c r="B14" s="546"/>
      <c r="C14" s="548"/>
      <c r="D14" s="550"/>
      <c r="E14" s="552"/>
      <c r="F14" s="554"/>
      <c r="G14" s="392">
        <f t="shared" ref="G14:G77" si="4">G13*$F13/$E13</f>
        <v>1.84</v>
      </c>
      <c r="H14" s="393">
        <f t="shared" ref="H14" si="5">H13*$F13/$E13</f>
        <v>0.37</v>
      </c>
      <c r="I14" s="393">
        <f t="shared" ref="I14" si="6">I13*$F13/$E13</f>
        <v>0</v>
      </c>
      <c r="J14" s="393">
        <f t="shared" ref="J14" si="7">J13*$F13/$E13</f>
        <v>0</v>
      </c>
      <c r="K14" s="393">
        <f t="shared" ref="K14" si="8">K13*$F13/$E13</f>
        <v>0</v>
      </c>
      <c r="L14" s="393">
        <f t="shared" ref="L14" si="9">L13*$F13/$E13</f>
        <v>0.37</v>
      </c>
    </row>
    <row r="15" spans="1:12" ht="28.5" customHeight="1" x14ac:dyDescent="0.35">
      <c r="A15" s="543">
        <v>6</v>
      </c>
      <c r="B15" s="545" t="s">
        <v>397</v>
      </c>
      <c r="C15" s="547" t="s">
        <v>381</v>
      </c>
      <c r="D15" s="549">
        <v>342578</v>
      </c>
      <c r="E15" s="551">
        <v>120</v>
      </c>
      <c r="F15" s="553">
        <v>40.47</v>
      </c>
      <c r="G15" s="394">
        <v>1</v>
      </c>
      <c r="H15" s="395">
        <v>0</v>
      </c>
      <c r="I15" s="395">
        <v>0</v>
      </c>
      <c r="J15" s="395">
        <v>0</v>
      </c>
      <c r="K15" s="395">
        <v>1</v>
      </c>
      <c r="L15" s="395">
        <v>0</v>
      </c>
    </row>
    <row r="16" spans="1:12" ht="15" thickBot="1" x14ac:dyDescent="0.4">
      <c r="A16" s="544"/>
      <c r="B16" s="546"/>
      <c r="C16" s="548"/>
      <c r="D16" s="550"/>
      <c r="E16" s="552"/>
      <c r="F16" s="554"/>
      <c r="G16" s="396">
        <f t="shared" si="4"/>
        <v>0.34</v>
      </c>
      <c r="H16" s="397">
        <f t="shared" ref="H16" si="10">H15*$F15/$E15</f>
        <v>0</v>
      </c>
      <c r="I16" s="397">
        <f t="shared" ref="I16" si="11">I15*$F15/$E15</f>
        <v>0</v>
      </c>
      <c r="J16" s="397">
        <f t="shared" ref="J16" si="12">J15*$F15/$E15</f>
        <v>0</v>
      </c>
      <c r="K16" s="397">
        <f t="shared" ref="K16" si="13">K15*$F15/$E15</f>
        <v>0.34</v>
      </c>
      <c r="L16" s="397">
        <f t="shared" ref="L16" si="14">L15*$F15/$E15</f>
        <v>0</v>
      </c>
    </row>
    <row r="17" spans="1:12" ht="51" customHeight="1" x14ac:dyDescent="0.35">
      <c r="A17" s="543">
        <v>7</v>
      </c>
      <c r="B17" s="585" t="s">
        <v>398</v>
      </c>
      <c r="C17" s="547" t="s">
        <v>381</v>
      </c>
      <c r="D17" s="549">
        <v>268235</v>
      </c>
      <c r="E17" s="551">
        <v>80</v>
      </c>
      <c r="F17" s="553">
        <v>162.72999999999999</v>
      </c>
      <c r="G17" s="390">
        <v>1</v>
      </c>
      <c r="H17" s="401">
        <v>0</v>
      </c>
      <c r="I17" s="401">
        <v>0</v>
      </c>
      <c r="J17" s="401">
        <v>0</v>
      </c>
      <c r="K17" s="401">
        <v>1</v>
      </c>
      <c r="L17" s="401">
        <v>1</v>
      </c>
    </row>
    <row r="18" spans="1:12" ht="42.75" customHeight="1" thickBot="1" x14ac:dyDescent="0.4">
      <c r="A18" s="544"/>
      <c r="B18" s="586"/>
      <c r="C18" s="548"/>
      <c r="D18" s="550"/>
      <c r="E18" s="552"/>
      <c r="F18" s="554"/>
      <c r="G18" s="392">
        <f t="shared" si="4"/>
        <v>2.0299999999999998</v>
      </c>
      <c r="H18" s="393">
        <f t="shared" ref="H18" si="15">H17*$F17/$E17</f>
        <v>0</v>
      </c>
      <c r="I18" s="393">
        <f t="shared" ref="I18" si="16">I17*$F17/$E17</f>
        <v>0</v>
      </c>
      <c r="J18" s="393">
        <f t="shared" ref="J18" si="17">J17*$F17/$E17</f>
        <v>0</v>
      </c>
      <c r="K18" s="393">
        <f t="shared" ref="K18" si="18">K17*$F17/$E17</f>
        <v>2.0299999999999998</v>
      </c>
      <c r="L18" s="393">
        <f t="shared" ref="L18" si="19">L17*$F17/$E17</f>
        <v>2.0299999999999998</v>
      </c>
    </row>
    <row r="19" spans="1:12" ht="36" customHeight="1" thickBot="1" x14ac:dyDescent="0.4">
      <c r="A19" s="402">
        <v>8</v>
      </c>
      <c r="B19" s="403"/>
      <c r="C19" s="404"/>
      <c r="D19" s="405"/>
      <c r="E19" s="406"/>
      <c r="F19" s="226"/>
      <c r="G19" s="407"/>
      <c r="H19" s="408"/>
      <c r="I19" s="408"/>
      <c r="J19" s="408"/>
      <c r="K19" s="408"/>
      <c r="L19" s="408"/>
    </row>
    <row r="20" spans="1:12" ht="60.75" customHeight="1" x14ac:dyDescent="0.35">
      <c r="A20" s="543">
        <v>9</v>
      </c>
      <c r="B20" s="585" t="s">
        <v>404</v>
      </c>
      <c r="C20" s="547" t="s">
        <v>381</v>
      </c>
      <c r="D20" s="549">
        <v>298356</v>
      </c>
      <c r="E20" s="551">
        <v>80</v>
      </c>
      <c r="F20" s="553">
        <v>933.92</v>
      </c>
      <c r="G20" s="390">
        <v>10</v>
      </c>
      <c r="H20" s="391">
        <v>0</v>
      </c>
      <c r="I20" s="391">
        <v>0</v>
      </c>
      <c r="J20" s="391">
        <v>0</v>
      </c>
      <c r="K20" s="391">
        <v>0</v>
      </c>
      <c r="L20" s="391">
        <v>0</v>
      </c>
    </row>
    <row r="21" spans="1:12" ht="40.5" customHeight="1" thickBot="1" x14ac:dyDescent="0.4">
      <c r="A21" s="544"/>
      <c r="B21" s="586"/>
      <c r="C21" s="548"/>
      <c r="D21" s="550"/>
      <c r="E21" s="552"/>
      <c r="F21" s="554"/>
      <c r="G21" s="392">
        <f t="shared" si="4"/>
        <v>116.74</v>
      </c>
      <c r="H21" s="393">
        <f t="shared" ref="H21" si="20">H20*$F20/$E20</f>
        <v>0</v>
      </c>
      <c r="I21" s="393">
        <f t="shared" ref="I21" si="21">I20*$F20/$E20</f>
        <v>0</v>
      </c>
      <c r="J21" s="393">
        <f t="shared" ref="J21" si="22">J20*$F20/$E20</f>
        <v>0</v>
      </c>
      <c r="K21" s="393">
        <f t="shared" ref="K21" si="23">K20*$F20/$E20</f>
        <v>0</v>
      </c>
      <c r="L21" s="393">
        <f t="shared" ref="L21" si="24">L20*$F20/$E20</f>
        <v>0</v>
      </c>
    </row>
    <row r="22" spans="1:12" x14ac:dyDescent="0.35">
      <c r="A22" s="543">
        <v>10</v>
      </c>
      <c r="B22" s="545" t="s">
        <v>405</v>
      </c>
      <c r="C22" s="547" t="s">
        <v>381</v>
      </c>
      <c r="D22" s="549">
        <v>446101</v>
      </c>
      <c r="E22" s="551">
        <v>60</v>
      </c>
      <c r="F22" s="553">
        <v>5.56</v>
      </c>
      <c r="G22" s="394">
        <v>10</v>
      </c>
      <c r="H22" s="395">
        <v>1</v>
      </c>
      <c r="I22" s="395">
        <v>1</v>
      </c>
      <c r="J22" s="395">
        <v>1</v>
      </c>
      <c r="K22" s="395">
        <v>1</v>
      </c>
      <c r="L22" s="395">
        <v>2</v>
      </c>
    </row>
    <row r="23" spans="1:12" ht="42.75" customHeight="1" thickBot="1" x14ac:dyDescent="0.4">
      <c r="A23" s="544"/>
      <c r="B23" s="546"/>
      <c r="C23" s="548"/>
      <c r="D23" s="550"/>
      <c r="E23" s="552"/>
      <c r="F23" s="554"/>
      <c r="G23" s="396">
        <f t="shared" si="4"/>
        <v>0.93</v>
      </c>
      <c r="H23" s="397">
        <f t="shared" ref="H23" si="25">H22*$F22/$E22</f>
        <v>0.09</v>
      </c>
      <c r="I23" s="397">
        <f t="shared" ref="I23" si="26">I22*$F22/$E22</f>
        <v>0.09</v>
      </c>
      <c r="J23" s="397">
        <f t="shared" ref="J23" si="27">J22*$F22/$E22</f>
        <v>0.09</v>
      </c>
      <c r="K23" s="397">
        <f t="shared" ref="K23" si="28">K22*$F22/$E22</f>
        <v>0.09</v>
      </c>
      <c r="L23" s="397">
        <f t="shared" ref="L23" si="29">L22*$F22/$E22</f>
        <v>0.19</v>
      </c>
    </row>
    <row r="24" spans="1:12" x14ac:dyDescent="0.35">
      <c r="A24" s="543">
        <v>11</v>
      </c>
      <c r="B24" s="545" t="s">
        <v>406</v>
      </c>
      <c r="C24" s="547" t="s">
        <v>381</v>
      </c>
      <c r="D24" s="549">
        <v>241711</v>
      </c>
      <c r="E24" s="551">
        <v>60</v>
      </c>
      <c r="F24" s="553">
        <v>8.0299999999999994</v>
      </c>
      <c r="G24" s="390">
        <v>2</v>
      </c>
      <c r="H24" s="391">
        <v>1</v>
      </c>
      <c r="I24" s="391">
        <v>3</v>
      </c>
      <c r="J24" s="391">
        <v>1</v>
      </c>
      <c r="K24" s="391">
        <v>1</v>
      </c>
      <c r="L24" s="391">
        <v>2</v>
      </c>
    </row>
    <row r="25" spans="1:12" ht="50.25" customHeight="1" thickBot="1" x14ac:dyDescent="0.4">
      <c r="A25" s="544"/>
      <c r="B25" s="546"/>
      <c r="C25" s="548"/>
      <c r="D25" s="550"/>
      <c r="E25" s="552"/>
      <c r="F25" s="554"/>
      <c r="G25" s="392">
        <f t="shared" si="4"/>
        <v>0.27</v>
      </c>
      <c r="H25" s="393">
        <f t="shared" ref="H25" si="30">H24*$F24/$E24</f>
        <v>0.13</v>
      </c>
      <c r="I25" s="393">
        <f t="shared" ref="I25" si="31">I24*$F24/$E24</f>
        <v>0.4</v>
      </c>
      <c r="J25" s="393">
        <f t="shared" ref="J25" si="32">J24*$F24/$E24</f>
        <v>0.13</v>
      </c>
      <c r="K25" s="393">
        <f t="shared" ref="K25" si="33">K24*$F24/$E24</f>
        <v>0.13</v>
      </c>
      <c r="L25" s="393">
        <f t="shared" ref="L25" si="34">L24*$F24/$E24</f>
        <v>0.27</v>
      </c>
    </row>
    <row r="26" spans="1:12" x14ac:dyDescent="0.35">
      <c r="A26" s="543">
        <v>12</v>
      </c>
      <c r="B26" s="585" t="s">
        <v>407</v>
      </c>
      <c r="C26" s="547" t="s">
        <v>381</v>
      </c>
      <c r="D26" s="549">
        <v>460930</v>
      </c>
      <c r="E26" s="551">
        <v>120</v>
      </c>
      <c r="F26" s="553">
        <v>1220</v>
      </c>
      <c r="G26" s="394">
        <v>0</v>
      </c>
      <c r="H26" s="395">
        <v>0</v>
      </c>
      <c r="I26" s="395">
        <v>0</v>
      </c>
      <c r="J26" s="395">
        <v>0</v>
      </c>
      <c r="K26" s="395">
        <v>1</v>
      </c>
      <c r="L26" s="395">
        <v>1</v>
      </c>
    </row>
    <row r="27" spans="1:12" ht="93.75" customHeight="1" thickBot="1" x14ac:dyDescent="0.4">
      <c r="A27" s="544"/>
      <c r="B27" s="586"/>
      <c r="C27" s="548"/>
      <c r="D27" s="550"/>
      <c r="E27" s="552"/>
      <c r="F27" s="554"/>
      <c r="G27" s="396">
        <f t="shared" si="4"/>
        <v>0</v>
      </c>
      <c r="H27" s="397">
        <f t="shared" ref="H27" si="35">H26*$F26/$E26</f>
        <v>0</v>
      </c>
      <c r="I27" s="397">
        <f t="shared" ref="I27" si="36">I26*$F26/$E26</f>
        <v>0</v>
      </c>
      <c r="J27" s="397">
        <f t="shared" ref="J27" si="37">J26*$F26/$E26</f>
        <v>0</v>
      </c>
      <c r="K27" s="397">
        <f t="shared" ref="K27" si="38">K26*$F26/$E26</f>
        <v>10.17</v>
      </c>
      <c r="L27" s="397">
        <f t="shared" ref="L27" si="39">L26*$F26/$E26</f>
        <v>10.17</v>
      </c>
    </row>
    <row r="28" spans="1:12" x14ac:dyDescent="0.35">
      <c r="A28" s="543">
        <v>13</v>
      </c>
      <c r="B28" s="585" t="s">
        <v>340</v>
      </c>
      <c r="C28" s="547" t="s">
        <v>381</v>
      </c>
      <c r="D28" s="617" t="s">
        <v>437</v>
      </c>
      <c r="E28" s="551">
        <v>120</v>
      </c>
      <c r="F28" s="553"/>
      <c r="G28" s="390">
        <v>1</v>
      </c>
      <c r="H28" s="391">
        <v>0</v>
      </c>
      <c r="I28" s="391">
        <v>0</v>
      </c>
      <c r="J28" s="391">
        <v>0</v>
      </c>
      <c r="K28" s="391">
        <v>1</v>
      </c>
      <c r="L28" s="391">
        <v>0</v>
      </c>
    </row>
    <row r="29" spans="1:12" ht="15" thickBot="1" x14ac:dyDescent="0.4">
      <c r="A29" s="544"/>
      <c r="B29" s="586"/>
      <c r="C29" s="548"/>
      <c r="D29" s="618"/>
      <c r="E29" s="552"/>
      <c r="F29" s="554"/>
      <c r="G29" s="392">
        <f t="shared" si="4"/>
        <v>0</v>
      </c>
      <c r="H29" s="393">
        <f t="shared" ref="H29" si="40">H28*$F28/$E28</f>
        <v>0</v>
      </c>
      <c r="I29" s="393">
        <f t="shared" ref="I29" si="41">I28*$F28/$E28</f>
        <v>0</v>
      </c>
      <c r="J29" s="393">
        <f t="shared" ref="J29" si="42">J28*$F28/$E28</f>
        <v>0</v>
      </c>
      <c r="K29" s="393">
        <f t="shared" ref="K29" si="43">K28*$F28/$E28</f>
        <v>0</v>
      </c>
      <c r="L29" s="393">
        <f t="shared" ref="L29" si="44">L28*$F28/$E28</f>
        <v>0</v>
      </c>
    </row>
    <row r="30" spans="1:12" x14ac:dyDescent="0.35">
      <c r="A30" s="543">
        <v>14</v>
      </c>
      <c r="B30" s="585" t="s">
        <v>408</v>
      </c>
      <c r="C30" s="547" t="s">
        <v>381</v>
      </c>
      <c r="D30" s="549" t="s">
        <v>444</v>
      </c>
      <c r="E30" s="551">
        <v>120</v>
      </c>
      <c r="F30" s="553">
        <v>2188.7800000000002</v>
      </c>
      <c r="G30" s="394">
        <v>3</v>
      </c>
      <c r="H30" s="395">
        <v>0</v>
      </c>
      <c r="I30" s="395">
        <v>0</v>
      </c>
      <c r="J30" s="395">
        <v>0</v>
      </c>
      <c r="K30" s="395">
        <v>0</v>
      </c>
      <c r="L30" s="395">
        <v>0</v>
      </c>
    </row>
    <row r="31" spans="1:12" ht="96.75" customHeight="1" thickBot="1" x14ac:dyDescent="0.4">
      <c r="A31" s="544"/>
      <c r="B31" s="586"/>
      <c r="C31" s="548"/>
      <c r="D31" s="550"/>
      <c r="E31" s="552"/>
      <c r="F31" s="554"/>
      <c r="G31" s="396">
        <f t="shared" si="4"/>
        <v>54.72</v>
      </c>
      <c r="H31" s="397">
        <f t="shared" ref="H31" si="45">H30*$F30/$E30</f>
        <v>0</v>
      </c>
      <c r="I31" s="397">
        <f t="shared" ref="I31" si="46">I30*$F30/$E30</f>
        <v>0</v>
      </c>
      <c r="J31" s="397">
        <f t="shared" ref="J31" si="47">J30*$F30/$E30</f>
        <v>0</v>
      </c>
      <c r="K31" s="397">
        <f t="shared" ref="K31" si="48">K30*$F30/$E30</f>
        <v>0</v>
      </c>
      <c r="L31" s="397">
        <f t="shared" ref="L31" si="49">L30*$F30/$E30</f>
        <v>0</v>
      </c>
    </row>
    <row r="32" spans="1:12" x14ac:dyDescent="0.35">
      <c r="A32" s="605">
        <v>15</v>
      </c>
      <c r="B32" s="607" t="s">
        <v>409</v>
      </c>
      <c r="C32" s="547" t="s">
        <v>381</v>
      </c>
      <c r="D32" s="549">
        <v>323193</v>
      </c>
      <c r="E32" s="551">
        <v>120</v>
      </c>
      <c r="F32" s="553">
        <v>216.81</v>
      </c>
      <c r="G32" s="390">
        <v>2</v>
      </c>
      <c r="H32" s="409">
        <v>1</v>
      </c>
      <c r="I32" s="409">
        <v>1</v>
      </c>
      <c r="J32" s="409">
        <v>0</v>
      </c>
      <c r="K32" s="409">
        <v>1</v>
      </c>
      <c r="L32" s="409">
        <v>1</v>
      </c>
    </row>
    <row r="33" spans="1:12" ht="105.75" customHeight="1" thickBot="1" x14ac:dyDescent="0.4">
      <c r="A33" s="606"/>
      <c r="B33" s="608"/>
      <c r="C33" s="548"/>
      <c r="D33" s="550"/>
      <c r="E33" s="552"/>
      <c r="F33" s="554"/>
      <c r="G33" s="392">
        <f t="shared" si="4"/>
        <v>3.61</v>
      </c>
      <c r="H33" s="393">
        <f t="shared" ref="H33" si="50">H32*$F32/$E32</f>
        <v>1.81</v>
      </c>
      <c r="I33" s="393">
        <f t="shared" ref="I33" si="51">I32*$F32/$E32</f>
        <v>1.81</v>
      </c>
      <c r="J33" s="393">
        <f t="shared" ref="J33" si="52">J32*$F32/$E32</f>
        <v>0</v>
      </c>
      <c r="K33" s="393">
        <f t="shared" ref="K33" si="53">K32*$F32/$E32</f>
        <v>1.81</v>
      </c>
      <c r="L33" s="393">
        <f t="shared" ref="L33" si="54">L32*$F32/$E32</f>
        <v>1.81</v>
      </c>
    </row>
    <row r="34" spans="1:12" x14ac:dyDescent="0.35">
      <c r="A34" s="605">
        <v>16</v>
      </c>
      <c r="B34" s="607" t="s">
        <v>410</v>
      </c>
      <c r="C34" s="547" t="s">
        <v>381</v>
      </c>
      <c r="D34" s="549">
        <v>456462</v>
      </c>
      <c r="E34" s="551">
        <v>120</v>
      </c>
      <c r="F34" s="553">
        <v>516.66</v>
      </c>
      <c r="G34" s="394">
        <v>1</v>
      </c>
      <c r="H34" s="410">
        <v>0</v>
      </c>
      <c r="I34" s="410">
        <v>0</v>
      </c>
      <c r="J34" s="410">
        <v>0</v>
      </c>
      <c r="K34" s="410">
        <v>1</v>
      </c>
      <c r="L34" s="410">
        <v>1</v>
      </c>
    </row>
    <row r="35" spans="1:12" ht="149.25" customHeight="1" thickBot="1" x14ac:dyDescent="0.4">
      <c r="A35" s="606"/>
      <c r="B35" s="608"/>
      <c r="C35" s="548"/>
      <c r="D35" s="550"/>
      <c r="E35" s="552"/>
      <c r="F35" s="554"/>
      <c r="G35" s="396">
        <f t="shared" si="4"/>
        <v>4.3099999999999996</v>
      </c>
      <c r="H35" s="397">
        <f t="shared" ref="H35" si="55">H34*$F34/$E34</f>
        <v>0</v>
      </c>
      <c r="I35" s="397">
        <f t="shared" ref="I35" si="56">I34*$F34/$E34</f>
        <v>0</v>
      </c>
      <c r="J35" s="397">
        <f t="shared" ref="J35" si="57">J34*$F34/$E34</f>
        <v>0</v>
      </c>
      <c r="K35" s="397">
        <f t="shared" ref="K35" si="58">K34*$F34/$E34</f>
        <v>4.3099999999999996</v>
      </c>
      <c r="L35" s="397">
        <f t="shared" ref="L35" si="59">L34*$F34/$E34</f>
        <v>4.3099999999999996</v>
      </c>
    </row>
    <row r="36" spans="1:12" x14ac:dyDescent="0.35">
      <c r="A36" s="543">
        <v>17</v>
      </c>
      <c r="B36" s="603" t="s">
        <v>411</v>
      </c>
      <c r="C36" s="547" t="s">
        <v>381</v>
      </c>
      <c r="D36" s="549">
        <v>448501</v>
      </c>
      <c r="E36" s="551">
        <v>60</v>
      </c>
      <c r="F36" s="553">
        <v>2.2599999999999998</v>
      </c>
      <c r="G36" s="390">
        <v>10</v>
      </c>
      <c r="H36" s="391">
        <v>1</v>
      </c>
      <c r="I36" s="391">
        <v>4</v>
      </c>
      <c r="J36" s="391">
        <v>1</v>
      </c>
      <c r="K36" s="391">
        <v>1</v>
      </c>
      <c r="L36" s="391">
        <v>2</v>
      </c>
    </row>
    <row r="37" spans="1:12" ht="95.25" customHeight="1" thickBot="1" x14ac:dyDescent="0.4">
      <c r="A37" s="544"/>
      <c r="B37" s="604"/>
      <c r="C37" s="548"/>
      <c r="D37" s="550"/>
      <c r="E37" s="552"/>
      <c r="F37" s="554"/>
      <c r="G37" s="392">
        <f t="shared" si="4"/>
        <v>0.38</v>
      </c>
      <c r="H37" s="393">
        <f t="shared" ref="H37" si="60">H36*$F36/$E36</f>
        <v>0.04</v>
      </c>
      <c r="I37" s="393">
        <f t="shared" ref="I37" si="61">I36*$F36/$E36</f>
        <v>0.15</v>
      </c>
      <c r="J37" s="393">
        <f t="shared" ref="J37" si="62">J36*$F36/$E36</f>
        <v>0.04</v>
      </c>
      <c r="K37" s="393">
        <f t="shared" ref="K37" si="63">K36*$F36/$E36</f>
        <v>0.04</v>
      </c>
      <c r="L37" s="393">
        <f t="shared" ref="L37" si="64">L36*$F36/$E36</f>
        <v>0.08</v>
      </c>
    </row>
    <row r="38" spans="1:12" x14ac:dyDescent="0.35">
      <c r="A38" s="543">
        <v>18</v>
      </c>
      <c r="B38" s="603" t="s">
        <v>412</v>
      </c>
      <c r="C38" s="547" t="s">
        <v>381</v>
      </c>
      <c r="D38" s="549">
        <v>314565</v>
      </c>
      <c r="E38" s="551">
        <v>60</v>
      </c>
      <c r="F38" s="553">
        <v>16.73</v>
      </c>
      <c r="G38" s="394">
        <v>5</v>
      </c>
      <c r="H38" s="395">
        <v>2</v>
      </c>
      <c r="I38" s="395">
        <v>3</v>
      </c>
      <c r="J38" s="395">
        <v>0</v>
      </c>
      <c r="K38" s="395">
        <v>1</v>
      </c>
      <c r="L38" s="395">
        <v>0</v>
      </c>
    </row>
    <row r="39" spans="1:12" ht="66" customHeight="1" thickBot="1" x14ac:dyDescent="0.4">
      <c r="A39" s="544"/>
      <c r="B39" s="604"/>
      <c r="C39" s="548"/>
      <c r="D39" s="550"/>
      <c r="E39" s="552"/>
      <c r="F39" s="554"/>
      <c r="G39" s="396">
        <f t="shared" si="4"/>
        <v>1.39</v>
      </c>
      <c r="H39" s="397">
        <f t="shared" ref="H39" si="65">H38*$F38/$E38</f>
        <v>0.56000000000000005</v>
      </c>
      <c r="I39" s="397">
        <f t="shared" ref="I39" si="66">I38*$F38/$E38</f>
        <v>0.84</v>
      </c>
      <c r="J39" s="397">
        <f t="shared" ref="J39" si="67">J38*$F38/$E38</f>
        <v>0</v>
      </c>
      <c r="K39" s="397">
        <f t="shared" ref="K39" si="68">K38*$F38/$E38</f>
        <v>0.28000000000000003</v>
      </c>
      <c r="L39" s="397">
        <f t="shared" ref="L39" si="69">L38*$F38/$E38</f>
        <v>0</v>
      </c>
    </row>
    <row r="40" spans="1:12" ht="43.5" customHeight="1" x14ac:dyDescent="0.35">
      <c r="A40" s="543">
        <v>19</v>
      </c>
      <c r="B40" s="603" t="s">
        <v>413</v>
      </c>
      <c r="C40" s="547" t="s">
        <v>381</v>
      </c>
      <c r="D40" s="549">
        <v>449541</v>
      </c>
      <c r="E40" s="551">
        <v>120</v>
      </c>
      <c r="F40" s="553">
        <v>8.1300000000000008</v>
      </c>
      <c r="G40" s="390">
        <v>3</v>
      </c>
      <c r="H40" s="391">
        <v>1</v>
      </c>
      <c r="I40" s="391">
        <v>0</v>
      </c>
      <c r="J40" s="391">
        <v>0</v>
      </c>
      <c r="K40" s="391">
        <v>0</v>
      </c>
      <c r="L40" s="391">
        <v>2</v>
      </c>
    </row>
    <row r="41" spans="1:12" ht="51" customHeight="1" thickBot="1" x14ac:dyDescent="0.4">
      <c r="A41" s="544"/>
      <c r="B41" s="604"/>
      <c r="C41" s="548"/>
      <c r="D41" s="550"/>
      <c r="E41" s="552"/>
      <c r="F41" s="554"/>
      <c r="G41" s="392">
        <f t="shared" si="4"/>
        <v>0.2</v>
      </c>
      <c r="H41" s="393">
        <f t="shared" ref="H41" si="70">H40*$F40/$E40</f>
        <v>7.0000000000000007E-2</v>
      </c>
      <c r="I41" s="393">
        <f t="shared" ref="I41" si="71">I40*$F40/$E40</f>
        <v>0</v>
      </c>
      <c r="J41" s="393">
        <f t="shared" ref="J41" si="72">J40*$F40/$E40</f>
        <v>0</v>
      </c>
      <c r="K41" s="393">
        <f t="shared" ref="K41" si="73">K40*$F40/$E40</f>
        <v>0</v>
      </c>
      <c r="L41" s="393">
        <f t="shared" ref="L41" si="74">L40*$F40/$E40</f>
        <v>0.14000000000000001</v>
      </c>
    </row>
    <row r="42" spans="1:12" ht="66" customHeight="1" x14ac:dyDescent="0.35">
      <c r="A42" s="543">
        <v>20</v>
      </c>
      <c r="B42" s="603" t="s">
        <v>341</v>
      </c>
      <c r="C42" s="587" t="s">
        <v>382</v>
      </c>
      <c r="D42" s="587" t="s">
        <v>436</v>
      </c>
      <c r="E42" s="601">
        <v>1</v>
      </c>
      <c r="F42" s="553"/>
      <c r="G42" s="394">
        <v>2</v>
      </c>
      <c r="H42" s="395">
        <v>2</v>
      </c>
      <c r="I42" s="395">
        <v>0</v>
      </c>
      <c r="J42" s="395">
        <v>1</v>
      </c>
      <c r="K42" s="395">
        <v>1</v>
      </c>
      <c r="L42" s="395">
        <v>1</v>
      </c>
    </row>
    <row r="43" spans="1:12" ht="15" thickBot="1" x14ac:dyDescent="0.4">
      <c r="A43" s="544"/>
      <c r="B43" s="604"/>
      <c r="C43" s="588"/>
      <c r="D43" s="588"/>
      <c r="E43" s="602"/>
      <c r="F43" s="554"/>
      <c r="G43" s="396">
        <f t="shared" si="4"/>
        <v>0</v>
      </c>
      <c r="H43" s="397">
        <f t="shared" ref="H43" si="75">H42*$F42/$E42</f>
        <v>0</v>
      </c>
      <c r="I43" s="397">
        <f t="shared" ref="I43" si="76">I42*$F42/$E42</f>
        <v>0</v>
      </c>
      <c r="J43" s="397">
        <f t="shared" ref="J43" si="77">J42*$F42/$E42</f>
        <v>0</v>
      </c>
      <c r="K43" s="397">
        <f t="shared" ref="K43" si="78">K42*$F42/$E42</f>
        <v>0</v>
      </c>
      <c r="L43" s="397">
        <f t="shared" ref="L43" si="79">L42*$F42/$E42</f>
        <v>0</v>
      </c>
    </row>
    <row r="44" spans="1:12" x14ac:dyDescent="0.35">
      <c r="A44" s="543">
        <v>21</v>
      </c>
      <c r="B44" s="609" t="s">
        <v>415</v>
      </c>
      <c r="C44" s="547" t="s">
        <v>381</v>
      </c>
      <c r="D44" s="549">
        <v>449983</v>
      </c>
      <c r="E44" s="551">
        <v>120</v>
      </c>
      <c r="F44" s="553">
        <v>911.99</v>
      </c>
      <c r="G44" s="411">
        <v>2</v>
      </c>
      <c r="H44" s="401">
        <v>1</v>
      </c>
      <c r="I44" s="401">
        <v>1</v>
      </c>
      <c r="J44" s="401">
        <v>1</v>
      </c>
      <c r="K44" s="401">
        <v>1</v>
      </c>
      <c r="L44" s="401">
        <v>1</v>
      </c>
    </row>
    <row r="45" spans="1:12" ht="158.25" customHeight="1" thickBot="1" x14ac:dyDescent="0.4">
      <c r="A45" s="544"/>
      <c r="B45" s="610"/>
      <c r="C45" s="548"/>
      <c r="D45" s="550"/>
      <c r="E45" s="552"/>
      <c r="F45" s="554"/>
      <c r="G45" s="392">
        <f t="shared" si="4"/>
        <v>15.2</v>
      </c>
      <c r="H45" s="393">
        <f t="shared" ref="H45" si="80">H44*$F44/$E44</f>
        <v>7.6</v>
      </c>
      <c r="I45" s="393">
        <f t="shared" ref="I45" si="81">I44*$F44/$E44</f>
        <v>7.6</v>
      </c>
      <c r="J45" s="393">
        <f t="shared" ref="J45" si="82">J44*$F44/$E44</f>
        <v>7.6</v>
      </c>
      <c r="K45" s="393">
        <f t="shared" ref="K45" si="83">K44*$F44/$E44</f>
        <v>7.6</v>
      </c>
      <c r="L45" s="393">
        <f t="shared" ref="L45" si="84">L44*$F44/$E44</f>
        <v>7.6</v>
      </c>
    </row>
    <row r="46" spans="1:12" x14ac:dyDescent="0.35">
      <c r="A46" s="543">
        <v>22</v>
      </c>
      <c r="B46" s="603" t="s">
        <v>414</v>
      </c>
      <c r="C46" s="587" t="s">
        <v>342</v>
      </c>
      <c r="D46" s="549">
        <v>397783</v>
      </c>
      <c r="E46" s="599">
        <v>12</v>
      </c>
      <c r="F46" s="583">
        <v>3.89</v>
      </c>
      <c r="G46" s="394">
        <v>35</v>
      </c>
      <c r="H46" s="395">
        <v>4</v>
      </c>
      <c r="I46" s="395">
        <v>4</v>
      </c>
      <c r="J46" s="395">
        <v>0</v>
      </c>
      <c r="K46" s="395">
        <v>2</v>
      </c>
      <c r="L46" s="395">
        <v>6</v>
      </c>
    </row>
    <row r="47" spans="1:12" ht="108" customHeight="1" thickBot="1" x14ac:dyDescent="0.4">
      <c r="A47" s="544"/>
      <c r="B47" s="604"/>
      <c r="C47" s="588"/>
      <c r="D47" s="550"/>
      <c r="E47" s="600"/>
      <c r="F47" s="584"/>
      <c r="G47" s="396">
        <f t="shared" si="4"/>
        <v>11.35</v>
      </c>
      <c r="H47" s="397">
        <f t="shared" ref="H47" si="85">H46*$F46/$E46</f>
        <v>1.3</v>
      </c>
      <c r="I47" s="397">
        <f t="shared" ref="I47" si="86">I46*$F46/$E46</f>
        <v>1.3</v>
      </c>
      <c r="J47" s="397">
        <f t="shared" ref="J47" si="87">J46*$F46/$E46</f>
        <v>0</v>
      </c>
      <c r="K47" s="397">
        <f t="shared" ref="K47" si="88">K46*$F46/$E46</f>
        <v>0.65</v>
      </c>
      <c r="L47" s="397">
        <f t="shared" ref="L47" si="89">L46*$F46/$E46</f>
        <v>1.95</v>
      </c>
    </row>
    <row r="48" spans="1:12" x14ac:dyDescent="0.35">
      <c r="A48" s="543">
        <v>23</v>
      </c>
      <c r="B48" s="609" t="s">
        <v>416</v>
      </c>
      <c r="C48" s="587" t="s">
        <v>342</v>
      </c>
      <c r="D48" s="549">
        <v>351226</v>
      </c>
      <c r="E48" s="551">
        <v>36</v>
      </c>
      <c r="F48" s="553">
        <v>32.549999999999997</v>
      </c>
      <c r="G48" s="390">
        <v>0</v>
      </c>
      <c r="H48" s="401">
        <v>1</v>
      </c>
      <c r="I48" s="401">
        <v>1</v>
      </c>
      <c r="J48" s="401">
        <v>0</v>
      </c>
      <c r="K48" s="401">
        <v>1</v>
      </c>
      <c r="L48" s="401">
        <v>3</v>
      </c>
    </row>
    <row r="49" spans="1:12" ht="78.75" customHeight="1" thickBot="1" x14ac:dyDescent="0.4">
      <c r="A49" s="544"/>
      <c r="B49" s="610"/>
      <c r="C49" s="588"/>
      <c r="D49" s="550"/>
      <c r="E49" s="552"/>
      <c r="F49" s="554"/>
      <c r="G49" s="392">
        <f t="shared" si="4"/>
        <v>0</v>
      </c>
      <c r="H49" s="393">
        <f t="shared" ref="H49" si="90">H48*$F48/$E48</f>
        <v>0.9</v>
      </c>
      <c r="I49" s="393">
        <f t="shared" ref="I49" si="91">I48*$F48/$E48</f>
        <v>0.9</v>
      </c>
      <c r="J49" s="393">
        <f t="shared" ref="J49" si="92">J48*$F48/$E48</f>
        <v>0</v>
      </c>
      <c r="K49" s="393">
        <f t="shared" ref="K49" si="93">K48*$F48/$E48</f>
        <v>0.9</v>
      </c>
      <c r="L49" s="393">
        <f t="shared" ref="L49" si="94">L48*$F48/$E48</f>
        <v>2.71</v>
      </c>
    </row>
    <row r="50" spans="1:12" x14ac:dyDescent="0.35">
      <c r="A50" s="613">
        <v>24</v>
      </c>
      <c r="B50" s="611" t="s">
        <v>418</v>
      </c>
      <c r="C50" s="549" t="s">
        <v>417</v>
      </c>
      <c r="D50" s="549">
        <v>436827</v>
      </c>
      <c r="E50" s="551">
        <v>60</v>
      </c>
      <c r="F50" s="553">
        <v>177.35</v>
      </c>
      <c r="G50" s="394">
        <v>2</v>
      </c>
      <c r="H50" s="412">
        <v>1</v>
      </c>
      <c r="I50" s="412">
        <v>0</v>
      </c>
      <c r="J50" s="412">
        <v>0</v>
      </c>
      <c r="K50" s="412">
        <v>0</v>
      </c>
      <c r="L50" s="412">
        <v>1</v>
      </c>
    </row>
    <row r="51" spans="1:12" ht="75.75" customHeight="1" thickBot="1" x14ac:dyDescent="0.4">
      <c r="A51" s="614"/>
      <c r="B51" s="612"/>
      <c r="C51" s="550"/>
      <c r="D51" s="550"/>
      <c r="E51" s="552"/>
      <c r="F51" s="554"/>
      <c r="G51" s="396">
        <f t="shared" si="4"/>
        <v>5.91</v>
      </c>
      <c r="H51" s="397">
        <f t="shared" ref="H51" si="95">H50*$F50/$E50</f>
        <v>2.96</v>
      </c>
      <c r="I51" s="397">
        <f t="shared" ref="I51" si="96">I50*$F50/$E50</f>
        <v>0</v>
      </c>
      <c r="J51" s="397">
        <f t="shared" ref="J51" si="97">J50*$F50/$E50</f>
        <v>0</v>
      </c>
      <c r="K51" s="397">
        <f t="shared" ref="K51" si="98">K50*$F50/$E50</f>
        <v>0</v>
      </c>
      <c r="L51" s="397">
        <f t="shared" ref="L51" si="99">L50*$F50/$E50</f>
        <v>2.96</v>
      </c>
    </row>
    <row r="52" spans="1:12" x14ac:dyDescent="0.35">
      <c r="A52" s="593">
        <v>25</v>
      </c>
      <c r="B52" s="609" t="s">
        <v>419</v>
      </c>
      <c r="C52" s="549" t="s">
        <v>381</v>
      </c>
      <c r="D52" s="549" t="s">
        <v>445</v>
      </c>
      <c r="E52" s="551">
        <v>36</v>
      </c>
      <c r="F52" s="553">
        <v>18.68</v>
      </c>
      <c r="G52" s="390">
        <v>5</v>
      </c>
      <c r="H52" s="401">
        <v>0</v>
      </c>
      <c r="I52" s="401">
        <v>2</v>
      </c>
      <c r="J52" s="401">
        <v>1</v>
      </c>
      <c r="K52" s="401">
        <v>1</v>
      </c>
      <c r="L52" s="401">
        <v>3</v>
      </c>
    </row>
    <row r="53" spans="1:12" ht="129" customHeight="1" thickBot="1" x14ac:dyDescent="0.4">
      <c r="A53" s="594"/>
      <c r="B53" s="610"/>
      <c r="C53" s="550"/>
      <c r="D53" s="550"/>
      <c r="E53" s="552"/>
      <c r="F53" s="554"/>
      <c r="G53" s="392">
        <f>G52*$F52/$E52</f>
        <v>2.59</v>
      </c>
      <c r="H53" s="393">
        <f t="shared" ref="H53:L53" si="100">H52*$F52/$E52</f>
        <v>0</v>
      </c>
      <c r="I53" s="393">
        <f t="shared" si="100"/>
        <v>1.04</v>
      </c>
      <c r="J53" s="393">
        <f t="shared" si="100"/>
        <v>0.52</v>
      </c>
      <c r="K53" s="393">
        <f t="shared" si="100"/>
        <v>0.52</v>
      </c>
      <c r="L53" s="393">
        <f t="shared" si="100"/>
        <v>1.56</v>
      </c>
    </row>
    <row r="54" spans="1:12" x14ac:dyDescent="0.35">
      <c r="A54" s="543">
        <v>26</v>
      </c>
      <c r="B54" s="603" t="s">
        <v>420</v>
      </c>
      <c r="C54" s="547" t="s">
        <v>381</v>
      </c>
      <c r="D54" s="549">
        <v>229836</v>
      </c>
      <c r="E54" s="551">
        <v>20</v>
      </c>
      <c r="F54" s="553">
        <v>25.65</v>
      </c>
      <c r="G54" s="394">
        <v>10</v>
      </c>
      <c r="H54" s="395">
        <v>2</v>
      </c>
      <c r="I54" s="395">
        <v>4</v>
      </c>
      <c r="J54" s="395">
        <v>1</v>
      </c>
      <c r="K54" s="395">
        <v>2</v>
      </c>
      <c r="L54" s="395">
        <v>3</v>
      </c>
    </row>
    <row r="55" spans="1:12" ht="137.25" customHeight="1" thickBot="1" x14ac:dyDescent="0.4">
      <c r="A55" s="544"/>
      <c r="B55" s="604"/>
      <c r="C55" s="548"/>
      <c r="D55" s="550"/>
      <c r="E55" s="552"/>
      <c r="F55" s="554"/>
      <c r="G55" s="396">
        <f t="shared" si="4"/>
        <v>12.83</v>
      </c>
      <c r="H55" s="397">
        <f t="shared" ref="H55" si="101">H54*$F54/$E54</f>
        <v>2.57</v>
      </c>
      <c r="I55" s="397">
        <f t="shared" ref="I55" si="102">I54*$F54/$E54</f>
        <v>5.13</v>
      </c>
      <c r="J55" s="397">
        <f t="shared" ref="J55" si="103">J54*$F54/$E54</f>
        <v>1.28</v>
      </c>
      <c r="K55" s="397">
        <f t="shared" ref="K55" si="104">K54*$F54/$E54</f>
        <v>2.57</v>
      </c>
      <c r="L55" s="397">
        <f t="shared" ref="L55" si="105">L54*$F54/$E54</f>
        <v>3.85</v>
      </c>
    </row>
    <row r="56" spans="1:12" x14ac:dyDescent="0.35">
      <c r="A56" s="543">
        <v>27</v>
      </c>
      <c r="B56" s="603" t="s">
        <v>421</v>
      </c>
      <c r="C56" s="547" t="s">
        <v>381</v>
      </c>
      <c r="D56" s="549">
        <v>481029</v>
      </c>
      <c r="E56" s="551">
        <v>20</v>
      </c>
      <c r="F56" s="553">
        <v>12.81</v>
      </c>
      <c r="G56" s="390">
        <v>10</v>
      </c>
      <c r="H56" s="391">
        <v>3</v>
      </c>
      <c r="I56" s="391">
        <v>2</v>
      </c>
      <c r="J56" s="391">
        <v>0</v>
      </c>
      <c r="K56" s="391">
        <v>1</v>
      </c>
      <c r="L56" s="391">
        <v>3</v>
      </c>
    </row>
    <row r="57" spans="1:12" ht="87.75" customHeight="1" thickBot="1" x14ac:dyDescent="0.4">
      <c r="A57" s="544"/>
      <c r="B57" s="604"/>
      <c r="C57" s="548"/>
      <c r="D57" s="550"/>
      <c r="E57" s="552"/>
      <c r="F57" s="554"/>
      <c r="G57" s="392">
        <f t="shared" si="4"/>
        <v>6.41</v>
      </c>
      <c r="H57" s="393">
        <f t="shared" ref="H57" si="106">H56*$F56/$E56</f>
        <v>1.92</v>
      </c>
      <c r="I57" s="393">
        <f t="shared" ref="I57" si="107">I56*$F56/$E56</f>
        <v>1.28</v>
      </c>
      <c r="J57" s="393">
        <f t="shared" ref="J57" si="108">J56*$F56/$E56</f>
        <v>0</v>
      </c>
      <c r="K57" s="393">
        <f t="shared" ref="K57" si="109">K56*$F56/$E56</f>
        <v>0.64</v>
      </c>
      <c r="L57" s="393">
        <f t="shared" ref="L57" si="110">L56*$F56/$E56</f>
        <v>1.92</v>
      </c>
    </row>
    <row r="58" spans="1:12" x14ac:dyDescent="0.35">
      <c r="A58" s="543">
        <v>29</v>
      </c>
      <c r="B58" s="603" t="s">
        <v>422</v>
      </c>
      <c r="C58" s="547" t="s">
        <v>381</v>
      </c>
      <c r="D58" s="549">
        <v>446290</v>
      </c>
      <c r="E58" s="551">
        <v>60</v>
      </c>
      <c r="F58" s="553">
        <v>70.260000000000005</v>
      </c>
      <c r="G58" s="394">
        <v>10</v>
      </c>
      <c r="H58" s="395">
        <v>3</v>
      </c>
      <c r="I58" s="395">
        <v>4</v>
      </c>
      <c r="J58" s="395">
        <v>0</v>
      </c>
      <c r="K58" s="395">
        <v>2</v>
      </c>
      <c r="L58" s="395">
        <v>5</v>
      </c>
    </row>
    <row r="59" spans="1:12" ht="117.75" customHeight="1" thickBot="1" x14ac:dyDescent="0.4">
      <c r="A59" s="544"/>
      <c r="B59" s="604"/>
      <c r="C59" s="548"/>
      <c r="D59" s="550"/>
      <c r="E59" s="552"/>
      <c r="F59" s="554"/>
      <c r="G59" s="396">
        <f t="shared" si="4"/>
        <v>11.71</v>
      </c>
      <c r="H59" s="397">
        <f t="shared" ref="H59" si="111">H58*$F58/$E58</f>
        <v>3.51</v>
      </c>
      <c r="I59" s="397">
        <f t="shared" ref="I59" si="112">I58*$F58/$E58</f>
        <v>4.68</v>
      </c>
      <c r="J59" s="397">
        <f t="shared" ref="J59" si="113">J58*$F58/$E58</f>
        <v>0</v>
      </c>
      <c r="K59" s="397">
        <f t="shared" ref="K59" si="114">K58*$F58/$E58</f>
        <v>2.34</v>
      </c>
      <c r="L59" s="397">
        <f t="shared" ref="L59" si="115">L58*$F58/$E58</f>
        <v>5.86</v>
      </c>
    </row>
    <row r="60" spans="1:12" x14ac:dyDescent="0.35">
      <c r="A60" s="543">
        <v>30</v>
      </c>
      <c r="B60" s="603" t="s">
        <v>428</v>
      </c>
      <c r="C60" s="547" t="s">
        <v>381</v>
      </c>
      <c r="D60" s="549">
        <v>278323</v>
      </c>
      <c r="E60" s="551">
        <v>20</v>
      </c>
      <c r="F60" s="553">
        <v>4.1100000000000003</v>
      </c>
      <c r="G60" s="390">
        <v>12</v>
      </c>
      <c r="H60" s="391">
        <v>15</v>
      </c>
      <c r="I60" s="391">
        <v>10</v>
      </c>
      <c r="J60" s="391">
        <v>6</v>
      </c>
      <c r="K60" s="391">
        <v>3</v>
      </c>
      <c r="L60" s="391">
        <v>3</v>
      </c>
    </row>
    <row r="61" spans="1:12" ht="50.25" customHeight="1" thickBot="1" x14ac:dyDescent="0.4">
      <c r="A61" s="544"/>
      <c r="B61" s="604"/>
      <c r="C61" s="548"/>
      <c r="D61" s="550"/>
      <c r="E61" s="552"/>
      <c r="F61" s="554"/>
      <c r="G61" s="392">
        <f t="shared" si="4"/>
        <v>2.4700000000000002</v>
      </c>
      <c r="H61" s="393">
        <f t="shared" ref="H61" si="116">H60*$F60/$E60</f>
        <v>3.08</v>
      </c>
      <c r="I61" s="393">
        <f t="shared" ref="I61" si="117">I60*$F60/$E60</f>
        <v>2.06</v>
      </c>
      <c r="J61" s="393">
        <f t="shared" ref="J61" si="118">J60*$F60/$E60</f>
        <v>1.23</v>
      </c>
      <c r="K61" s="393">
        <f t="shared" ref="K61" si="119">K60*$F60/$E60</f>
        <v>0.62</v>
      </c>
      <c r="L61" s="393">
        <f t="shared" ref="L61" si="120">L60*$F60/$E60</f>
        <v>0.62</v>
      </c>
    </row>
    <row r="62" spans="1:12" x14ac:dyDescent="0.35">
      <c r="A62" s="593">
        <v>31</v>
      </c>
      <c r="B62" s="609" t="s">
        <v>423</v>
      </c>
      <c r="C62" s="547" t="s">
        <v>381</v>
      </c>
      <c r="D62" s="549">
        <v>444427</v>
      </c>
      <c r="E62" s="551">
        <v>20</v>
      </c>
      <c r="F62" s="553">
        <v>10.61</v>
      </c>
      <c r="G62" s="394">
        <v>10</v>
      </c>
      <c r="H62" s="399">
        <v>3</v>
      </c>
      <c r="I62" s="399">
        <v>0</v>
      </c>
      <c r="J62" s="399">
        <v>1</v>
      </c>
      <c r="K62" s="399">
        <v>2</v>
      </c>
      <c r="L62" s="399">
        <v>0</v>
      </c>
    </row>
    <row r="63" spans="1:12" ht="93" customHeight="1" thickBot="1" x14ac:dyDescent="0.4">
      <c r="A63" s="594"/>
      <c r="B63" s="610"/>
      <c r="C63" s="548"/>
      <c r="D63" s="550"/>
      <c r="E63" s="552"/>
      <c r="F63" s="554"/>
      <c r="G63" s="396">
        <f t="shared" si="4"/>
        <v>5.31</v>
      </c>
      <c r="H63" s="397">
        <f t="shared" ref="H63" si="121">H62*$F62/$E62</f>
        <v>1.59</v>
      </c>
      <c r="I63" s="397">
        <f t="shared" ref="I63" si="122">I62*$F62/$E62</f>
        <v>0</v>
      </c>
      <c r="J63" s="397">
        <f t="shared" ref="J63" si="123">J62*$F62/$E62</f>
        <v>0.53</v>
      </c>
      <c r="K63" s="397">
        <f t="shared" ref="K63" si="124">K62*$F62/$E62</f>
        <v>1.06</v>
      </c>
      <c r="L63" s="397">
        <f t="shared" ref="L63" si="125">L62*$F62/$E62</f>
        <v>0</v>
      </c>
    </row>
    <row r="64" spans="1:12" x14ac:dyDescent="0.35">
      <c r="A64" s="543">
        <v>32</v>
      </c>
      <c r="B64" s="603" t="s">
        <v>424</v>
      </c>
      <c r="C64" s="547" t="s">
        <v>381</v>
      </c>
      <c r="D64" s="549">
        <v>406214</v>
      </c>
      <c r="E64" s="551">
        <v>20</v>
      </c>
      <c r="F64" s="553">
        <v>7.53</v>
      </c>
      <c r="G64" s="390">
        <v>10</v>
      </c>
      <c r="H64" s="391">
        <v>4</v>
      </c>
      <c r="I64" s="391">
        <v>4</v>
      </c>
      <c r="J64" s="391">
        <v>1</v>
      </c>
      <c r="K64" s="391">
        <v>2</v>
      </c>
      <c r="L64" s="391">
        <v>2</v>
      </c>
    </row>
    <row r="65" spans="1:12" ht="85.5" customHeight="1" thickBot="1" x14ac:dyDescent="0.4">
      <c r="A65" s="544"/>
      <c r="B65" s="604"/>
      <c r="C65" s="548"/>
      <c r="D65" s="550"/>
      <c r="E65" s="552"/>
      <c r="F65" s="554"/>
      <c r="G65" s="392">
        <f t="shared" si="4"/>
        <v>3.77</v>
      </c>
      <c r="H65" s="393">
        <f t="shared" ref="H65" si="126">H64*$F64/$E64</f>
        <v>1.51</v>
      </c>
      <c r="I65" s="393">
        <f t="shared" ref="I65" si="127">I64*$F64/$E64</f>
        <v>1.51</v>
      </c>
      <c r="J65" s="393">
        <f t="shared" ref="J65" si="128">J64*$F64/$E64</f>
        <v>0.38</v>
      </c>
      <c r="K65" s="393">
        <f t="shared" ref="K65" si="129">K64*$F64/$E64</f>
        <v>0.75</v>
      </c>
      <c r="L65" s="393">
        <f t="shared" ref="L65" si="130">L64*$F64/$E64</f>
        <v>0.75</v>
      </c>
    </row>
    <row r="66" spans="1:12" x14ac:dyDescent="0.35">
      <c r="A66" s="593">
        <v>33</v>
      </c>
      <c r="B66" s="609" t="s">
        <v>432</v>
      </c>
      <c r="C66" s="547" t="s">
        <v>381</v>
      </c>
      <c r="D66" s="589" t="s">
        <v>433</v>
      </c>
      <c r="E66" s="551">
        <v>20</v>
      </c>
      <c r="F66" s="553"/>
      <c r="G66" s="394">
        <v>0</v>
      </c>
      <c r="H66" s="399">
        <v>0</v>
      </c>
      <c r="I66" s="399">
        <v>0</v>
      </c>
      <c r="J66" s="399">
        <v>0</v>
      </c>
      <c r="K66" s="399">
        <v>0</v>
      </c>
      <c r="L66" s="399">
        <v>5</v>
      </c>
    </row>
    <row r="67" spans="1:12" ht="15" thickBot="1" x14ac:dyDescent="0.4">
      <c r="A67" s="594"/>
      <c r="B67" s="610"/>
      <c r="C67" s="548"/>
      <c r="D67" s="590"/>
      <c r="E67" s="552"/>
      <c r="F67" s="554"/>
      <c r="G67" s="396">
        <f t="shared" si="4"/>
        <v>0</v>
      </c>
      <c r="H67" s="397">
        <f t="shared" ref="H67" si="131">H66*$F66/$E66</f>
        <v>0</v>
      </c>
      <c r="I67" s="397">
        <f t="shared" ref="I67" si="132">I66*$F66/$E66</f>
        <v>0</v>
      </c>
      <c r="J67" s="397">
        <f t="shared" ref="J67" si="133">J66*$F66/$E66</f>
        <v>0</v>
      </c>
      <c r="K67" s="397">
        <f t="shared" ref="K67" si="134">K66*$F66/$E66</f>
        <v>0</v>
      </c>
      <c r="L67" s="397">
        <f t="shared" ref="L67" si="135">L66*$F66/$E66</f>
        <v>0</v>
      </c>
    </row>
    <row r="68" spans="1:12" x14ac:dyDescent="0.35">
      <c r="A68" s="543">
        <v>34</v>
      </c>
      <c r="B68" s="609" t="s">
        <v>425</v>
      </c>
      <c r="C68" s="547" t="s">
        <v>381</v>
      </c>
      <c r="D68" s="549">
        <v>295951</v>
      </c>
      <c r="E68" s="551">
        <v>20</v>
      </c>
      <c r="F68" s="553">
        <v>9.9</v>
      </c>
      <c r="G68" s="390">
        <v>0</v>
      </c>
      <c r="H68" s="401">
        <v>0</v>
      </c>
      <c r="I68" s="401">
        <v>0</v>
      </c>
      <c r="J68" s="401">
        <v>0</v>
      </c>
      <c r="K68" s="401">
        <v>0</v>
      </c>
      <c r="L68" s="401">
        <v>2</v>
      </c>
    </row>
    <row r="69" spans="1:12" ht="141" customHeight="1" thickBot="1" x14ac:dyDescent="0.4">
      <c r="A69" s="544"/>
      <c r="B69" s="610"/>
      <c r="C69" s="548"/>
      <c r="D69" s="550"/>
      <c r="E69" s="552"/>
      <c r="F69" s="554"/>
      <c r="G69" s="392">
        <f t="shared" si="4"/>
        <v>0</v>
      </c>
      <c r="H69" s="393">
        <f t="shared" ref="H69" si="136">H68*$F68/$E68</f>
        <v>0</v>
      </c>
      <c r="I69" s="393">
        <f t="shared" ref="I69" si="137">I68*$F68/$E68</f>
        <v>0</v>
      </c>
      <c r="J69" s="393">
        <f t="shared" ref="J69" si="138">J68*$F68/$E68</f>
        <v>0</v>
      </c>
      <c r="K69" s="393">
        <f t="shared" ref="K69" si="139">K68*$F68/$E68</f>
        <v>0</v>
      </c>
      <c r="L69" s="393">
        <f t="shared" ref="L69" si="140">L68*$F68/$E68</f>
        <v>0.99</v>
      </c>
    </row>
    <row r="70" spans="1:12" x14ac:dyDescent="0.35">
      <c r="A70" s="615"/>
      <c r="B70" s="621" t="s">
        <v>434</v>
      </c>
      <c r="C70" s="547" t="s">
        <v>381</v>
      </c>
      <c r="D70" s="587" t="s">
        <v>435</v>
      </c>
      <c r="E70" s="597">
        <v>80</v>
      </c>
      <c r="F70" s="553"/>
      <c r="G70" s="394">
        <v>0</v>
      </c>
      <c r="H70" s="413">
        <v>0</v>
      </c>
      <c r="I70" s="413">
        <v>0</v>
      </c>
      <c r="J70" s="413">
        <v>0</v>
      </c>
      <c r="K70" s="413">
        <v>0</v>
      </c>
      <c r="L70" s="413">
        <v>0</v>
      </c>
    </row>
    <row r="71" spans="1:12" ht="15" thickBot="1" x14ac:dyDescent="0.4">
      <c r="A71" s="616"/>
      <c r="B71" s="622"/>
      <c r="C71" s="548"/>
      <c r="D71" s="588"/>
      <c r="E71" s="598"/>
      <c r="F71" s="554"/>
      <c r="G71" s="396">
        <f>G70*$F70/$E70</f>
        <v>0</v>
      </c>
      <c r="H71" s="397">
        <f t="shared" ref="H71:L71" si="141">H70*$F70/$E70</f>
        <v>0</v>
      </c>
      <c r="I71" s="397">
        <f t="shared" si="141"/>
        <v>0</v>
      </c>
      <c r="J71" s="397">
        <f t="shared" si="141"/>
        <v>0</v>
      </c>
      <c r="K71" s="397">
        <f t="shared" si="141"/>
        <v>0</v>
      </c>
      <c r="L71" s="397">
        <f t="shared" si="141"/>
        <v>0</v>
      </c>
    </row>
    <row r="72" spans="1:12" x14ac:dyDescent="0.35">
      <c r="A72" s="543">
        <v>35</v>
      </c>
      <c r="B72" s="609" t="s">
        <v>427</v>
      </c>
      <c r="C72" s="547" t="s">
        <v>381</v>
      </c>
      <c r="D72" s="549">
        <v>245629</v>
      </c>
      <c r="E72" s="551">
        <v>20</v>
      </c>
      <c r="F72" s="553">
        <v>13.7</v>
      </c>
      <c r="G72" s="390">
        <v>5</v>
      </c>
      <c r="H72" s="401">
        <v>1</v>
      </c>
      <c r="I72" s="401">
        <v>0</v>
      </c>
      <c r="J72" s="401">
        <v>0</v>
      </c>
      <c r="K72" s="401">
        <v>1</v>
      </c>
      <c r="L72" s="401">
        <v>1</v>
      </c>
    </row>
    <row r="73" spans="1:12" ht="81.75" customHeight="1" thickBot="1" x14ac:dyDescent="0.4">
      <c r="A73" s="544"/>
      <c r="B73" s="610"/>
      <c r="C73" s="548"/>
      <c r="D73" s="550"/>
      <c r="E73" s="552"/>
      <c r="F73" s="554"/>
      <c r="G73" s="392">
        <f t="shared" si="4"/>
        <v>3.43</v>
      </c>
      <c r="H73" s="393">
        <f t="shared" ref="H73" si="142">H72*$F72/$E72</f>
        <v>0.69</v>
      </c>
      <c r="I73" s="393">
        <f t="shared" ref="I73" si="143">I72*$F72/$E72</f>
        <v>0</v>
      </c>
      <c r="J73" s="393">
        <f t="shared" ref="J73" si="144">J72*$F72/$E72</f>
        <v>0</v>
      </c>
      <c r="K73" s="393">
        <f t="shared" ref="K73" si="145">K72*$F72/$E72</f>
        <v>0.69</v>
      </c>
      <c r="L73" s="393">
        <f t="shared" ref="L73" si="146">L72*$F72/$E72</f>
        <v>0.69</v>
      </c>
    </row>
    <row r="74" spans="1:12" x14ac:dyDescent="0.35">
      <c r="A74" s="543">
        <v>36</v>
      </c>
      <c r="B74" s="603" t="s">
        <v>426</v>
      </c>
      <c r="C74" s="547" t="s">
        <v>381</v>
      </c>
      <c r="D74" s="549">
        <v>337490</v>
      </c>
      <c r="E74" s="551">
        <v>36</v>
      </c>
      <c r="F74" s="553">
        <v>74.52</v>
      </c>
      <c r="G74" s="394">
        <v>12</v>
      </c>
      <c r="H74" s="395">
        <v>2</v>
      </c>
      <c r="I74" s="395">
        <v>2</v>
      </c>
      <c r="J74" s="395">
        <v>0</v>
      </c>
      <c r="K74" s="395">
        <v>0</v>
      </c>
      <c r="L74" s="395">
        <v>2</v>
      </c>
    </row>
    <row r="75" spans="1:12" ht="93" customHeight="1" thickBot="1" x14ac:dyDescent="0.4">
      <c r="A75" s="544"/>
      <c r="B75" s="604"/>
      <c r="C75" s="548"/>
      <c r="D75" s="550"/>
      <c r="E75" s="552"/>
      <c r="F75" s="554"/>
      <c r="G75" s="396">
        <f t="shared" si="4"/>
        <v>24.84</v>
      </c>
      <c r="H75" s="397">
        <f t="shared" ref="H75" si="147">H74*$F74/$E74</f>
        <v>4.1399999999999997</v>
      </c>
      <c r="I75" s="397">
        <f t="shared" ref="I75" si="148">I74*$F74/$E74</f>
        <v>4.1399999999999997</v>
      </c>
      <c r="J75" s="397">
        <f t="shared" ref="J75" si="149">J74*$F74/$E74</f>
        <v>0</v>
      </c>
      <c r="K75" s="397">
        <f t="shared" ref="K75" si="150">K74*$F74/$E74</f>
        <v>0</v>
      </c>
      <c r="L75" s="397">
        <f t="shared" ref="L75" si="151">L74*$F74/$E74</f>
        <v>4.1399999999999997</v>
      </c>
    </row>
    <row r="76" spans="1:12" x14ac:dyDescent="0.35">
      <c r="A76" s="543">
        <v>37</v>
      </c>
      <c r="B76" s="555" t="s">
        <v>429</v>
      </c>
      <c r="C76" s="547" t="s">
        <v>381</v>
      </c>
      <c r="D76" s="549">
        <v>407481</v>
      </c>
      <c r="E76" s="551">
        <v>120</v>
      </c>
      <c r="F76" s="553">
        <v>227</v>
      </c>
      <c r="G76" s="390">
        <v>2</v>
      </c>
      <c r="H76" s="391">
        <v>2</v>
      </c>
      <c r="I76" s="391">
        <v>1</v>
      </c>
      <c r="J76" s="391">
        <v>0</v>
      </c>
      <c r="K76" s="391">
        <v>1</v>
      </c>
      <c r="L76" s="391">
        <v>1</v>
      </c>
    </row>
    <row r="77" spans="1:12" ht="91.5" customHeight="1" thickBot="1" x14ac:dyDescent="0.4">
      <c r="A77" s="544"/>
      <c r="B77" s="556"/>
      <c r="C77" s="548"/>
      <c r="D77" s="550"/>
      <c r="E77" s="552"/>
      <c r="F77" s="554"/>
      <c r="G77" s="392">
        <f t="shared" si="4"/>
        <v>3.78</v>
      </c>
      <c r="H77" s="393">
        <f t="shared" ref="H77" si="152">H76*$F76/$E76</f>
        <v>3.78</v>
      </c>
      <c r="I77" s="393">
        <f t="shared" ref="I77" si="153">I76*$F76/$E76</f>
        <v>1.89</v>
      </c>
      <c r="J77" s="393">
        <f t="shared" ref="J77" si="154">J76*$F76/$E76</f>
        <v>0</v>
      </c>
      <c r="K77" s="393">
        <f t="shared" ref="K77" si="155">K76*$F76/$E76</f>
        <v>1.89</v>
      </c>
      <c r="L77" s="393">
        <f t="shared" ref="L77" si="156">L76*$F76/$E76</f>
        <v>1.89</v>
      </c>
    </row>
    <row r="78" spans="1:12" x14ac:dyDescent="0.35">
      <c r="A78" s="543">
        <v>39</v>
      </c>
      <c r="B78" s="619" t="s">
        <v>430</v>
      </c>
      <c r="C78" s="547" t="s">
        <v>381</v>
      </c>
      <c r="D78" s="549">
        <v>303150</v>
      </c>
      <c r="E78" s="595">
        <v>60</v>
      </c>
      <c r="F78" s="553">
        <v>3.08</v>
      </c>
      <c r="G78" s="394">
        <v>62</v>
      </c>
      <c r="H78" s="395">
        <v>16</v>
      </c>
      <c r="I78" s="395">
        <v>10</v>
      </c>
      <c r="J78" s="395">
        <v>0</v>
      </c>
      <c r="K78" s="395">
        <v>8</v>
      </c>
      <c r="L78" s="395">
        <v>14</v>
      </c>
    </row>
    <row r="79" spans="1:12" ht="97.5" customHeight="1" thickBot="1" x14ac:dyDescent="0.4">
      <c r="A79" s="544"/>
      <c r="B79" s="620"/>
      <c r="C79" s="548"/>
      <c r="D79" s="550"/>
      <c r="E79" s="596"/>
      <c r="F79" s="554"/>
      <c r="G79" s="396">
        <f t="shared" ref="G79:G131" si="157">G78*$F78/$E78</f>
        <v>3.18</v>
      </c>
      <c r="H79" s="397">
        <f t="shared" ref="H79" si="158">H78*$F78/$E78</f>
        <v>0.82</v>
      </c>
      <c r="I79" s="397">
        <f t="shared" ref="I79" si="159">I78*$F78/$E78</f>
        <v>0.51</v>
      </c>
      <c r="J79" s="397">
        <f t="shared" ref="J79" si="160">J78*$F78/$E78</f>
        <v>0</v>
      </c>
      <c r="K79" s="397">
        <f t="shared" ref="K79" si="161">K78*$F78/$E78</f>
        <v>0.41</v>
      </c>
      <c r="L79" s="397">
        <f t="shared" ref="L79" si="162">L78*$F78/$E78</f>
        <v>0.72</v>
      </c>
    </row>
    <row r="80" spans="1:12" x14ac:dyDescent="0.35">
      <c r="A80" s="543">
        <v>40</v>
      </c>
      <c r="B80" s="603" t="s">
        <v>331</v>
      </c>
      <c r="C80" s="547" t="s">
        <v>381</v>
      </c>
      <c r="D80" s="547"/>
      <c r="E80" s="551">
        <v>120</v>
      </c>
      <c r="F80" s="553">
        <v>0</v>
      </c>
      <c r="G80" s="390">
        <v>1</v>
      </c>
      <c r="H80" s="414">
        <v>0</v>
      </c>
      <c r="I80" s="391">
        <v>0</v>
      </c>
      <c r="J80" s="391">
        <v>1</v>
      </c>
      <c r="K80" s="414">
        <v>1</v>
      </c>
      <c r="L80" s="414">
        <v>1</v>
      </c>
    </row>
    <row r="81" spans="1:12" ht="15" thickBot="1" x14ac:dyDescent="0.4">
      <c r="A81" s="544"/>
      <c r="B81" s="604"/>
      <c r="C81" s="548"/>
      <c r="D81" s="548"/>
      <c r="E81" s="552"/>
      <c r="F81" s="554"/>
      <c r="G81" s="392">
        <f t="shared" si="157"/>
        <v>0</v>
      </c>
      <c r="H81" s="393">
        <f t="shared" ref="H81" si="163">H80*$F80/$E80</f>
        <v>0</v>
      </c>
      <c r="I81" s="393">
        <f t="shared" ref="I81" si="164">I80*$F80/$E80</f>
        <v>0</v>
      </c>
      <c r="J81" s="393">
        <f t="shared" ref="J81" si="165">J80*$F80/$E80</f>
        <v>0</v>
      </c>
      <c r="K81" s="393">
        <f t="shared" ref="K81" si="166">K80*$F80/$E80</f>
        <v>0</v>
      </c>
      <c r="L81" s="393">
        <f t="shared" ref="L81" si="167">L80*$F80/$E80</f>
        <v>0</v>
      </c>
    </row>
    <row r="82" spans="1:12" x14ac:dyDescent="0.35">
      <c r="A82" s="543">
        <v>41</v>
      </c>
      <c r="B82" s="609" t="s">
        <v>332</v>
      </c>
      <c r="C82" s="547" t="s">
        <v>381</v>
      </c>
      <c r="D82" s="587" t="s">
        <v>431</v>
      </c>
      <c r="E82" s="551">
        <v>120</v>
      </c>
      <c r="F82" s="553"/>
      <c r="G82" s="394">
        <v>2</v>
      </c>
      <c r="H82" s="415">
        <v>1</v>
      </c>
      <c r="I82" s="395">
        <v>0</v>
      </c>
      <c r="J82" s="395">
        <v>0</v>
      </c>
      <c r="K82" s="415">
        <v>1</v>
      </c>
      <c r="L82" s="415">
        <v>1</v>
      </c>
    </row>
    <row r="83" spans="1:12" ht="15" thickBot="1" x14ac:dyDescent="0.4">
      <c r="A83" s="544"/>
      <c r="B83" s="610"/>
      <c r="C83" s="548"/>
      <c r="D83" s="588"/>
      <c r="E83" s="552"/>
      <c r="F83" s="554"/>
      <c r="G83" s="396">
        <f t="shared" si="157"/>
        <v>0</v>
      </c>
      <c r="H83" s="397">
        <f t="shared" ref="H83" si="168">H82*$F82/$E82</f>
        <v>0</v>
      </c>
      <c r="I83" s="397">
        <f t="shared" ref="I83" si="169">I82*$F82/$E82</f>
        <v>0</v>
      </c>
      <c r="J83" s="397">
        <f t="shared" ref="J83" si="170">J82*$F82/$E82</f>
        <v>0</v>
      </c>
      <c r="K83" s="397">
        <f t="shared" ref="K83" si="171">K82*$F82/$E82</f>
        <v>0</v>
      </c>
      <c r="L83" s="397">
        <f t="shared" ref="L83" si="172">L82*$F82/$E82</f>
        <v>0</v>
      </c>
    </row>
    <row r="84" spans="1:12" x14ac:dyDescent="0.35">
      <c r="A84" s="543">
        <v>42</v>
      </c>
      <c r="B84" s="603" t="s">
        <v>333</v>
      </c>
      <c r="C84" s="547" t="s">
        <v>381</v>
      </c>
      <c r="D84" s="547"/>
      <c r="E84" s="551">
        <v>120</v>
      </c>
      <c r="F84" s="553">
        <v>0</v>
      </c>
      <c r="G84" s="390">
        <v>1</v>
      </c>
      <c r="H84" s="414">
        <v>0</v>
      </c>
      <c r="I84" s="391">
        <v>0</v>
      </c>
      <c r="J84" s="391">
        <v>0</v>
      </c>
      <c r="K84" s="414">
        <v>1</v>
      </c>
      <c r="L84" s="414">
        <v>1</v>
      </c>
    </row>
    <row r="85" spans="1:12" ht="15" thickBot="1" x14ac:dyDescent="0.4">
      <c r="A85" s="544"/>
      <c r="B85" s="604"/>
      <c r="C85" s="548"/>
      <c r="D85" s="548"/>
      <c r="E85" s="552"/>
      <c r="F85" s="554"/>
      <c r="G85" s="392">
        <f t="shared" si="157"/>
        <v>0</v>
      </c>
      <c r="H85" s="393">
        <f t="shared" ref="H85" si="173">H84*$F84/$E84</f>
        <v>0</v>
      </c>
      <c r="I85" s="393">
        <f t="shared" ref="I85" si="174">I84*$F84/$E84</f>
        <v>0</v>
      </c>
      <c r="J85" s="393">
        <f t="shared" ref="J85" si="175">J84*$F84/$E84</f>
        <v>0</v>
      </c>
      <c r="K85" s="393">
        <f t="shared" ref="K85" si="176">K84*$F84/$E84</f>
        <v>0</v>
      </c>
      <c r="L85" s="393">
        <f t="shared" ref="L85" si="177">L84*$F84/$E84</f>
        <v>0</v>
      </c>
    </row>
    <row r="86" spans="1:12" x14ac:dyDescent="0.35">
      <c r="A86" s="543">
        <v>43</v>
      </c>
      <c r="B86" s="603" t="s">
        <v>334</v>
      </c>
      <c r="C86" s="547" t="s">
        <v>381</v>
      </c>
      <c r="D86" s="547"/>
      <c r="E86" s="551">
        <v>120</v>
      </c>
      <c r="F86" s="553">
        <v>0</v>
      </c>
      <c r="G86" s="394">
        <v>1</v>
      </c>
      <c r="H86" s="415">
        <v>1</v>
      </c>
      <c r="I86" s="395">
        <v>0</v>
      </c>
      <c r="J86" s="395">
        <v>0</v>
      </c>
      <c r="K86" s="415">
        <v>1</v>
      </c>
      <c r="L86" s="415">
        <v>1</v>
      </c>
    </row>
    <row r="87" spans="1:12" ht="15" thickBot="1" x14ac:dyDescent="0.4">
      <c r="A87" s="544"/>
      <c r="B87" s="604"/>
      <c r="C87" s="548"/>
      <c r="D87" s="548"/>
      <c r="E87" s="552"/>
      <c r="F87" s="554"/>
      <c r="G87" s="396">
        <f t="shared" si="157"/>
        <v>0</v>
      </c>
      <c r="H87" s="397">
        <f t="shared" ref="H87" si="178">H86*$F86/$E86</f>
        <v>0</v>
      </c>
      <c r="I87" s="397">
        <f t="shared" ref="I87" si="179">I86*$F86/$E86</f>
        <v>0</v>
      </c>
      <c r="J87" s="397">
        <f t="shared" ref="J87" si="180">J86*$F86/$E86</f>
        <v>0</v>
      </c>
      <c r="K87" s="397">
        <f t="shared" ref="K87" si="181">K86*$F86/$E86</f>
        <v>0</v>
      </c>
      <c r="L87" s="397">
        <f t="shared" ref="L87" si="182">L86*$F86/$E86</f>
        <v>0</v>
      </c>
    </row>
    <row r="88" spans="1:12" x14ac:dyDescent="0.35">
      <c r="A88" s="543">
        <v>44</v>
      </c>
      <c r="B88" s="603" t="s">
        <v>438</v>
      </c>
      <c r="C88" s="547" t="s">
        <v>381</v>
      </c>
      <c r="D88" s="549">
        <v>246966</v>
      </c>
      <c r="E88" s="551">
        <v>120</v>
      </c>
      <c r="F88" s="553">
        <v>41.67</v>
      </c>
      <c r="G88" s="390">
        <v>2</v>
      </c>
      <c r="H88" s="414">
        <v>1</v>
      </c>
      <c r="I88" s="391">
        <v>0</v>
      </c>
      <c r="J88" s="391">
        <v>1</v>
      </c>
      <c r="K88" s="414">
        <v>1</v>
      </c>
      <c r="L88" s="414">
        <v>2</v>
      </c>
    </row>
    <row r="89" spans="1:12" ht="132" customHeight="1" thickBot="1" x14ac:dyDescent="0.4">
      <c r="A89" s="544"/>
      <c r="B89" s="604"/>
      <c r="C89" s="548"/>
      <c r="D89" s="550"/>
      <c r="E89" s="552"/>
      <c r="F89" s="554"/>
      <c r="G89" s="392">
        <f t="shared" si="157"/>
        <v>0.69</v>
      </c>
      <c r="H89" s="393">
        <f t="shared" ref="H89" si="183">H88*$F88/$E88</f>
        <v>0.35</v>
      </c>
      <c r="I89" s="393">
        <f t="shared" ref="I89" si="184">I88*$F88/$E88</f>
        <v>0</v>
      </c>
      <c r="J89" s="393">
        <f t="shared" ref="J89" si="185">J88*$F88/$E88</f>
        <v>0.35</v>
      </c>
      <c r="K89" s="393">
        <f t="shared" ref="K89" si="186">K88*$F88/$E88</f>
        <v>0.35</v>
      </c>
      <c r="L89" s="393">
        <f t="shared" ref="L89" si="187">L88*$F88/$E88</f>
        <v>0.69</v>
      </c>
    </row>
    <row r="90" spans="1:12" ht="50.25" customHeight="1" x14ac:dyDescent="0.35">
      <c r="A90" s="543">
        <v>45</v>
      </c>
      <c r="B90" s="545" t="s">
        <v>439</v>
      </c>
      <c r="C90" s="547" t="s">
        <v>381</v>
      </c>
      <c r="D90" s="549">
        <v>231772</v>
      </c>
      <c r="E90" s="551">
        <v>120</v>
      </c>
      <c r="F90" s="553">
        <v>28.91</v>
      </c>
      <c r="G90" s="394">
        <v>2</v>
      </c>
      <c r="H90" s="415">
        <v>1</v>
      </c>
      <c r="I90" s="395">
        <v>0</v>
      </c>
      <c r="J90" s="395">
        <v>0</v>
      </c>
      <c r="K90" s="415">
        <v>1</v>
      </c>
      <c r="L90" s="415">
        <v>1</v>
      </c>
    </row>
    <row r="91" spans="1:12" ht="50.25" customHeight="1" thickBot="1" x14ac:dyDescent="0.4">
      <c r="A91" s="544"/>
      <c r="B91" s="546"/>
      <c r="C91" s="548"/>
      <c r="D91" s="550"/>
      <c r="E91" s="552"/>
      <c r="F91" s="554"/>
      <c r="G91" s="396">
        <f t="shared" si="157"/>
        <v>0.48</v>
      </c>
      <c r="H91" s="397">
        <f t="shared" ref="H91" si="188">H90*$F90/$E90</f>
        <v>0.24</v>
      </c>
      <c r="I91" s="397">
        <f t="shared" ref="I91" si="189">I90*$F90/$E90</f>
        <v>0</v>
      </c>
      <c r="J91" s="397">
        <f t="shared" ref="J91" si="190">J90*$F90/$E90</f>
        <v>0</v>
      </c>
      <c r="K91" s="397">
        <f t="shared" ref="K91" si="191">K90*$F90/$E90</f>
        <v>0.24</v>
      </c>
      <c r="L91" s="397">
        <f t="shared" ref="L91" si="192">L90*$F90/$E90</f>
        <v>0.24</v>
      </c>
    </row>
    <row r="92" spans="1:12" x14ac:dyDescent="0.35">
      <c r="A92" s="543">
        <v>46</v>
      </c>
      <c r="B92" s="585" t="s">
        <v>449</v>
      </c>
      <c r="C92" s="547" t="s">
        <v>381</v>
      </c>
      <c r="D92" s="591" t="s">
        <v>448</v>
      </c>
      <c r="E92" s="551">
        <v>120</v>
      </c>
      <c r="F92" s="553"/>
      <c r="G92" s="390">
        <v>1</v>
      </c>
      <c r="H92" s="414">
        <v>1</v>
      </c>
      <c r="I92" s="391">
        <v>0</v>
      </c>
      <c r="J92" s="391">
        <v>0</v>
      </c>
      <c r="K92" s="414">
        <v>1</v>
      </c>
      <c r="L92" s="414">
        <v>1</v>
      </c>
    </row>
    <row r="93" spans="1:12" ht="15" thickBot="1" x14ac:dyDescent="0.4">
      <c r="A93" s="544"/>
      <c r="B93" s="586"/>
      <c r="C93" s="548"/>
      <c r="D93" s="592"/>
      <c r="E93" s="552"/>
      <c r="F93" s="554"/>
      <c r="G93" s="392">
        <f t="shared" si="157"/>
        <v>0</v>
      </c>
      <c r="H93" s="393">
        <f t="shared" ref="H93" si="193">H92*$F92/$E92</f>
        <v>0</v>
      </c>
      <c r="I93" s="393">
        <f t="shared" ref="I93" si="194">I92*$F92/$E92</f>
        <v>0</v>
      </c>
      <c r="J93" s="393">
        <f t="shared" ref="J93" si="195">J92*$F92/$E92</f>
        <v>0</v>
      </c>
      <c r="K93" s="393">
        <f t="shared" ref="K93" si="196">K92*$F92/$E92</f>
        <v>0</v>
      </c>
      <c r="L93" s="393">
        <f t="shared" ref="L93" si="197">L92*$F92/$E92</f>
        <v>0</v>
      </c>
    </row>
    <row r="94" spans="1:12" x14ac:dyDescent="0.35">
      <c r="A94" s="543">
        <v>47</v>
      </c>
      <c r="B94" s="585" t="s">
        <v>450</v>
      </c>
      <c r="C94" s="547" t="s">
        <v>381</v>
      </c>
      <c r="D94" s="591" t="s">
        <v>448</v>
      </c>
      <c r="E94" s="551">
        <v>120</v>
      </c>
      <c r="F94" s="553"/>
      <c r="G94" s="394">
        <v>0</v>
      </c>
      <c r="H94" s="415">
        <v>0</v>
      </c>
      <c r="I94" s="395">
        <v>0</v>
      </c>
      <c r="J94" s="395">
        <v>1</v>
      </c>
      <c r="K94" s="415">
        <v>1</v>
      </c>
      <c r="L94" s="415">
        <v>0</v>
      </c>
    </row>
    <row r="95" spans="1:12" ht="15" thickBot="1" x14ac:dyDescent="0.4">
      <c r="A95" s="544"/>
      <c r="B95" s="586"/>
      <c r="C95" s="548"/>
      <c r="D95" s="592"/>
      <c r="E95" s="552"/>
      <c r="F95" s="554"/>
      <c r="G95" s="396">
        <f t="shared" si="157"/>
        <v>0</v>
      </c>
      <c r="H95" s="397">
        <f t="shared" ref="H95" si="198">H94*$F94/$E94</f>
        <v>0</v>
      </c>
      <c r="I95" s="397">
        <f t="shared" ref="I95" si="199">I94*$F94/$E94</f>
        <v>0</v>
      </c>
      <c r="J95" s="397">
        <f t="shared" ref="J95" si="200">J94*$F94/$E94</f>
        <v>0</v>
      </c>
      <c r="K95" s="397">
        <f t="shared" ref="K95" si="201">K94*$F94/$E94</f>
        <v>0</v>
      </c>
      <c r="L95" s="397">
        <f t="shared" ref="L95" si="202">L94*$F94/$E94</f>
        <v>0</v>
      </c>
    </row>
    <row r="96" spans="1:12" x14ac:dyDescent="0.35">
      <c r="A96" s="543">
        <v>48</v>
      </c>
      <c r="B96" s="585" t="s">
        <v>335</v>
      </c>
      <c r="C96" s="547" t="s">
        <v>381</v>
      </c>
      <c r="D96" s="591" t="s">
        <v>448</v>
      </c>
      <c r="E96" s="551">
        <v>120</v>
      </c>
      <c r="F96" s="553"/>
      <c r="G96" s="390">
        <v>2</v>
      </c>
      <c r="H96" s="414">
        <v>1</v>
      </c>
      <c r="I96" s="391">
        <v>0</v>
      </c>
      <c r="J96" s="391">
        <v>0</v>
      </c>
      <c r="K96" s="414">
        <v>0</v>
      </c>
      <c r="L96" s="414">
        <v>1</v>
      </c>
    </row>
    <row r="97" spans="1:12" ht="15" thickBot="1" x14ac:dyDescent="0.4">
      <c r="A97" s="544"/>
      <c r="B97" s="586"/>
      <c r="C97" s="548"/>
      <c r="D97" s="592"/>
      <c r="E97" s="552"/>
      <c r="F97" s="554"/>
      <c r="G97" s="392">
        <f t="shared" si="157"/>
        <v>0</v>
      </c>
      <c r="H97" s="393">
        <f t="shared" ref="H97" si="203">H96*$F96/$E96</f>
        <v>0</v>
      </c>
      <c r="I97" s="393">
        <f t="shared" ref="I97" si="204">I96*$F96/$E96</f>
        <v>0</v>
      </c>
      <c r="J97" s="393">
        <f t="shared" ref="J97" si="205">J96*$F96/$E96</f>
        <v>0</v>
      </c>
      <c r="K97" s="393">
        <f t="shared" ref="K97" si="206">K96*$F96/$E96</f>
        <v>0</v>
      </c>
      <c r="L97" s="393">
        <f t="shared" ref="L97" si="207">L96*$F96/$E96</f>
        <v>0</v>
      </c>
    </row>
    <row r="98" spans="1:12" x14ac:dyDescent="0.35">
      <c r="A98" s="593">
        <v>49</v>
      </c>
      <c r="B98" s="585" t="s">
        <v>336</v>
      </c>
      <c r="C98" s="547" t="s">
        <v>381</v>
      </c>
      <c r="D98" s="591" t="s">
        <v>448</v>
      </c>
      <c r="E98" s="551">
        <v>60</v>
      </c>
      <c r="F98" s="553"/>
      <c r="G98" s="394">
        <v>3</v>
      </c>
      <c r="H98" s="415">
        <v>1</v>
      </c>
      <c r="I98" s="395">
        <v>0</v>
      </c>
      <c r="J98" s="395">
        <v>0</v>
      </c>
      <c r="K98" s="415">
        <v>1</v>
      </c>
      <c r="L98" s="415">
        <v>1</v>
      </c>
    </row>
    <row r="99" spans="1:12" ht="15" thickBot="1" x14ac:dyDescent="0.4">
      <c r="A99" s="594"/>
      <c r="B99" s="586"/>
      <c r="C99" s="548"/>
      <c r="D99" s="592"/>
      <c r="E99" s="552"/>
      <c r="F99" s="554"/>
      <c r="G99" s="396">
        <f t="shared" si="157"/>
        <v>0</v>
      </c>
      <c r="H99" s="397">
        <f t="shared" ref="H99" si="208">H98*$F98/$E98</f>
        <v>0</v>
      </c>
      <c r="I99" s="397">
        <f t="shared" ref="I99" si="209">I98*$F98/$E98</f>
        <v>0</v>
      </c>
      <c r="J99" s="397">
        <f t="shared" ref="J99" si="210">J98*$F98/$E98</f>
        <v>0</v>
      </c>
      <c r="K99" s="397">
        <f t="shared" ref="K99" si="211">K98*$F98/$E98</f>
        <v>0</v>
      </c>
      <c r="L99" s="397">
        <f t="shared" ref="L99" si="212">L98*$F98/$E98</f>
        <v>0</v>
      </c>
    </row>
    <row r="100" spans="1:12" x14ac:dyDescent="0.35">
      <c r="A100" s="543">
        <v>50</v>
      </c>
      <c r="B100" s="545" t="s">
        <v>440</v>
      </c>
      <c r="C100" s="547" t="s">
        <v>381</v>
      </c>
      <c r="D100" s="549">
        <v>452487</v>
      </c>
      <c r="E100" s="551">
        <v>60</v>
      </c>
      <c r="F100" s="553">
        <v>27.16</v>
      </c>
      <c r="G100" s="390">
        <v>2</v>
      </c>
      <c r="H100" s="414">
        <v>2</v>
      </c>
      <c r="I100" s="391">
        <v>0</v>
      </c>
      <c r="J100" s="391">
        <v>0</v>
      </c>
      <c r="K100" s="414">
        <v>1</v>
      </c>
      <c r="L100" s="414">
        <v>2</v>
      </c>
    </row>
    <row r="101" spans="1:12" ht="97.5" customHeight="1" thickBot="1" x14ac:dyDescent="0.4">
      <c r="A101" s="544"/>
      <c r="B101" s="546"/>
      <c r="C101" s="548"/>
      <c r="D101" s="550"/>
      <c r="E101" s="552"/>
      <c r="F101" s="554"/>
      <c r="G101" s="392">
        <f t="shared" si="157"/>
        <v>0.91</v>
      </c>
      <c r="H101" s="393">
        <f t="shared" ref="H101" si="213">H100*$F100/$E100</f>
        <v>0.91</v>
      </c>
      <c r="I101" s="393">
        <f t="shared" ref="I101" si="214">I100*$F100/$E100</f>
        <v>0</v>
      </c>
      <c r="J101" s="393">
        <f t="shared" ref="J101" si="215">J100*$F100/$E100</f>
        <v>0</v>
      </c>
      <c r="K101" s="393">
        <f t="shared" ref="K101" si="216">K100*$F100/$E100</f>
        <v>0.45</v>
      </c>
      <c r="L101" s="393">
        <f t="shared" ref="L101" si="217">L100*$F100/$E100</f>
        <v>0.91</v>
      </c>
    </row>
    <row r="102" spans="1:12" x14ac:dyDescent="0.35">
      <c r="A102" s="543">
        <v>51</v>
      </c>
      <c r="B102" s="545" t="s">
        <v>441</v>
      </c>
      <c r="C102" s="547" t="s">
        <v>381</v>
      </c>
      <c r="D102" s="549">
        <v>450643</v>
      </c>
      <c r="E102" s="551">
        <v>36</v>
      </c>
      <c r="F102" s="553">
        <v>19.71</v>
      </c>
      <c r="G102" s="394">
        <v>3</v>
      </c>
      <c r="H102" s="415">
        <v>2</v>
      </c>
      <c r="I102" s="395">
        <v>0</v>
      </c>
      <c r="J102" s="395">
        <v>1</v>
      </c>
      <c r="K102" s="415">
        <v>1</v>
      </c>
      <c r="L102" s="415">
        <v>3</v>
      </c>
    </row>
    <row r="103" spans="1:12" ht="64.5" customHeight="1" thickBot="1" x14ac:dyDescent="0.4">
      <c r="A103" s="544"/>
      <c r="B103" s="546"/>
      <c r="C103" s="548"/>
      <c r="D103" s="550"/>
      <c r="E103" s="552"/>
      <c r="F103" s="554"/>
      <c r="G103" s="396">
        <f t="shared" si="157"/>
        <v>1.64</v>
      </c>
      <c r="H103" s="397">
        <f t="shared" ref="H103" si="218">H102*$F102/$E102</f>
        <v>1.1000000000000001</v>
      </c>
      <c r="I103" s="397">
        <f t="shared" ref="I103" si="219">I102*$F102/$E102</f>
        <v>0</v>
      </c>
      <c r="J103" s="397">
        <f t="shared" ref="J103" si="220">J102*$F102/$E102</f>
        <v>0.55000000000000004</v>
      </c>
      <c r="K103" s="397">
        <f t="shared" ref="K103" si="221">K102*$F102/$E102</f>
        <v>0.55000000000000004</v>
      </c>
      <c r="L103" s="397">
        <f t="shared" ref="L103" si="222">L102*$F102/$E102</f>
        <v>1.64</v>
      </c>
    </row>
    <row r="104" spans="1:12" x14ac:dyDescent="0.35">
      <c r="A104" s="543">
        <v>52</v>
      </c>
      <c r="B104" s="545" t="s">
        <v>442</v>
      </c>
      <c r="C104" s="547" t="s">
        <v>381</v>
      </c>
      <c r="D104" s="549">
        <v>468637</v>
      </c>
      <c r="E104" s="551">
        <v>60</v>
      </c>
      <c r="F104" s="553">
        <v>28.67</v>
      </c>
      <c r="G104" s="390">
        <v>2</v>
      </c>
      <c r="H104" s="414">
        <v>0</v>
      </c>
      <c r="I104" s="391">
        <v>0</v>
      </c>
      <c r="J104" s="391">
        <v>0</v>
      </c>
      <c r="K104" s="414">
        <v>0</v>
      </c>
      <c r="L104" s="414">
        <v>0</v>
      </c>
    </row>
    <row r="105" spans="1:12" ht="72.75" customHeight="1" thickBot="1" x14ac:dyDescent="0.4">
      <c r="A105" s="544"/>
      <c r="B105" s="546"/>
      <c r="C105" s="548"/>
      <c r="D105" s="550"/>
      <c r="E105" s="552"/>
      <c r="F105" s="554"/>
      <c r="G105" s="392">
        <f t="shared" si="157"/>
        <v>0.96</v>
      </c>
      <c r="H105" s="393">
        <f t="shared" ref="H105" si="223">H104*$F104/$E104</f>
        <v>0</v>
      </c>
      <c r="I105" s="393">
        <f t="shared" ref="I105" si="224">I104*$F104/$E104</f>
        <v>0</v>
      </c>
      <c r="J105" s="393">
        <f t="shared" ref="J105" si="225">J104*$F104/$E104</f>
        <v>0</v>
      </c>
      <c r="K105" s="393">
        <f t="shared" ref="K105" si="226">K104*$F104/$E104</f>
        <v>0</v>
      </c>
      <c r="L105" s="393">
        <f t="shared" ref="L105" si="227">L104*$F104/$E104</f>
        <v>0</v>
      </c>
    </row>
    <row r="106" spans="1:12" x14ac:dyDescent="0.35">
      <c r="A106" s="543">
        <v>53</v>
      </c>
      <c r="B106" s="545" t="s">
        <v>443</v>
      </c>
      <c r="C106" s="547" t="s">
        <v>381</v>
      </c>
      <c r="D106" s="549">
        <v>239391</v>
      </c>
      <c r="E106" s="551">
        <v>120</v>
      </c>
      <c r="F106" s="553">
        <v>36.9</v>
      </c>
      <c r="G106" s="394">
        <v>2</v>
      </c>
      <c r="H106" s="415">
        <v>0</v>
      </c>
      <c r="I106" s="395">
        <v>0</v>
      </c>
      <c r="J106" s="395">
        <v>1</v>
      </c>
      <c r="K106" s="415">
        <v>1</v>
      </c>
      <c r="L106" s="415">
        <v>1</v>
      </c>
    </row>
    <row r="107" spans="1:12" ht="65.25" customHeight="1" thickBot="1" x14ac:dyDescent="0.4">
      <c r="A107" s="544"/>
      <c r="B107" s="546"/>
      <c r="C107" s="548"/>
      <c r="D107" s="550"/>
      <c r="E107" s="552"/>
      <c r="F107" s="554"/>
      <c r="G107" s="396">
        <f t="shared" si="157"/>
        <v>0.62</v>
      </c>
      <c r="H107" s="397">
        <f t="shared" ref="H107" si="228">H106*$F106/$E106</f>
        <v>0</v>
      </c>
      <c r="I107" s="397">
        <f t="shared" ref="I107" si="229">I106*$F106/$E106</f>
        <v>0</v>
      </c>
      <c r="J107" s="397">
        <f t="shared" ref="J107" si="230">J106*$F106/$E106</f>
        <v>0.31</v>
      </c>
      <c r="K107" s="397">
        <f t="shared" ref="K107" si="231">K106*$F106/$E106</f>
        <v>0.31</v>
      </c>
      <c r="L107" s="397">
        <f t="shared" ref="L107" si="232">L106*$F106/$E106</f>
        <v>0.31</v>
      </c>
    </row>
    <row r="108" spans="1:12" x14ac:dyDescent="0.35">
      <c r="A108" s="593">
        <v>54</v>
      </c>
      <c r="B108" s="585" t="s">
        <v>337</v>
      </c>
      <c r="C108" s="547" t="s">
        <v>381</v>
      </c>
      <c r="D108" s="591" t="s">
        <v>448</v>
      </c>
      <c r="E108" s="551">
        <v>120</v>
      </c>
      <c r="F108" s="553"/>
      <c r="G108" s="390">
        <v>1</v>
      </c>
      <c r="H108" s="414">
        <v>0</v>
      </c>
      <c r="I108" s="391">
        <v>0</v>
      </c>
      <c r="J108" s="391">
        <v>0</v>
      </c>
      <c r="K108" s="414">
        <v>0</v>
      </c>
      <c r="L108" s="414">
        <v>0</v>
      </c>
    </row>
    <row r="109" spans="1:12" ht="15" thickBot="1" x14ac:dyDescent="0.4">
      <c r="A109" s="594"/>
      <c r="B109" s="586"/>
      <c r="C109" s="548"/>
      <c r="D109" s="592"/>
      <c r="E109" s="552"/>
      <c r="F109" s="554"/>
      <c r="G109" s="392">
        <f t="shared" si="157"/>
        <v>0</v>
      </c>
      <c r="H109" s="393">
        <f t="shared" ref="H109" si="233">H108*$F108/$E108</f>
        <v>0</v>
      </c>
      <c r="I109" s="393">
        <f t="shared" ref="I109" si="234">I108*$F108/$E108</f>
        <v>0</v>
      </c>
      <c r="J109" s="393">
        <f t="shared" ref="J109" si="235">J108*$F108/$E108</f>
        <v>0</v>
      </c>
      <c r="K109" s="393">
        <f t="shared" ref="K109" si="236">K108*$F108/$E108</f>
        <v>0</v>
      </c>
      <c r="L109" s="393">
        <f t="shared" ref="L109" si="237">L108*$F108/$E108</f>
        <v>0</v>
      </c>
    </row>
    <row r="110" spans="1:12" x14ac:dyDescent="0.35">
      <c r="A110" s="543">
        <v>55</v>
      </c>
      <c r="B110" s="545" t="s">
        <v>338</v>
      </c>
      <c r="C110" s="547" t="s">
        <v>381</v>
      </c>
      <c r="D110" s="591" t="s">
        <v>448</v>
      </c>
      <c r="E110" s="551">
        <v>120</v>
      </c>
      <c r="F110" s="553"/>
      <c r="G110" s="394">
        <v>1</v>
      </c>
      <c r="H110" s="415">
        <v>0</v>
      </c>
      <c r="I110" s="395">
        <v>0</v>
      </c>
      <c r="J110" s="395">
        <v>0</v>
      </c>
      <c r="K110" s="415">
        <v>1</v>
      </c>
      <c r="L110" s="415">
        <v>2</v>
      </c>
    </row>
    <row r="111" spans="1:12" ht="15" thickBot="1" x14ac:dyDescent="0.4">
      <c r="A111" s="544"/>
      <c r="B111" s="546"/>
      <c r="C111" s="548"/>
      <c r="D111" s="592"/>
      <c r="E111" s="552"/>
      <c r="F111" s="554"/>
      <c r="G111" s="396">
        <f t="shared" si="157"/>
        <v>0</v>
      </c>
      <c r="H111" s="397">
        <f t="shared" ref="H111" si="238">H110*$F110/$E110</f>
        <v>0</v>
      </c>
      <c r="I111" s="397">
        <f t="shared" ref="I111" si="239">I110*$F110/$E110</f>
        <v>0</v>
      </c>
      <c r="J111" s="397">
        <f t="shared" ref="J111" si="240">J110*$F110/$E110</f>
        <v>0</v>
      </c>
      <c r="K111" s="397">
        <f t="shared" ref="K111" si="241">K110*$F110/$E110</f>
        <v>0</v>
      </c>
      <c r="L111" s="397">
        <f t="shared" ref="L111" si="242">L110*$F110/$E110</f>
        <v>0</v>
      </c>
    </row>
    <row r="112" spans="1:12" x14ac:dyDescent="0.35">
      <c r="A112" s="593">
        <v>56</v>
      </c>
      <c r="B112" s="585" t="s">
        <v>378</v>
      </c>
      <c r="C112" s="547" t="s">
        <v>381</v>
      </c>
      <c r="D112" s="591" t="s">
        <v>448</v>
      </c>
      <c r="E112" s="551">
        <v>60</v>
      </c>
      <c r="F112" s="553"/>
      <c r="G112" s="390">
        <v>2</v>
      </c>
      <c r="H112" s="414">
        <v>1</v>
      </c>
      <c r="I112" s="391">
        <v>0</v>
      </c>
      <c r="J112" s="391">
        <v>0</v>
      </c>
      <c r="K112" s="414">
        <v>0</v>
      </c>
      <c r="L112" s="414">
        <v>1</v>
      </c>
    </row>
    <row r="113" spans="1:12" ht="15" thickBot="1" x14ac:dyDescent="0.4">
      <c r="A113" s="594"/>
      <c r="B113" s="586"/>
      <c r="C113" s="548"/>
      <c r="D113" s="592"/>
      <c r="E113" s="552"/>
      <c r="F113" s="554"/>
      <c r="G113" s="392">
        <f t="shared" si="157"/>
        <v>0</v>
      </c>
      <c r="H113" s="393">
        <f t="shared" ref="H113" si="243">H112*$F112/$E112</f>
        <v>0</v>
      </c>
      <c r="I113" s="393">
        <f t="shared" ref="I113" si="244">I112*$F112/$E112</f>
        <v>0</v>
      </c>
      <c r="J113" s="393">
        <f t="shared" ref="J113" si="245">J112*$F112/$E112</f>
        <v>0</v>
      </c>
      <c r="K113" s="393">
        <f t="shared" ref="K113" si="246">K112*$F112/$E112</f>
        <v>0</v>
      </c>
      <c r="L113" s="393">
        <f t="shared" ref="L113" si="247">L112*$F112/$E112</f>
        <v>0</v>
      </c>
    </row>
    <row r="114" spans="1:12" x14ac:dyDescent="0.35">
      <c r="A114" s="593">
        <v>57</v>
      </c>
      <c r="B114" s="585" t="s">
        <v>339</v>
      </c>
      <c r="C114" s="587" t="s">
        <v>381</v>
      </c>
      <c r="D114" s="591" t="s">
        <v>448</v>
      </c>
      <c r="E114" s="551">
        <v>60</v>
      </c>
      <c r="F114" s="553"/>
      <c r="G114" s="394"/>
      <c r="H114" s="395">
        <v>1</v>
      </c>
      <c r="I114" s="395">
        <v>1</v>
      </c>
      <c r="J114" s="395">
        <v>1</v>
      </c>
      <c r="K114" s="395">
        <v>1</v>
      </c>
      <c r="L114" s="395">
        <v>1</v>
      </c>
    </row>
    <row r="115" spans="1:12" ht="15" thickBot="1" x14ac:dyDescent="0.4">
      <c r="A115" s="594"/>
      <c r="B115" s="586"/>
      <c r="C115" s="588"/>
      <c r="D115" s="592"/>
      <c r="E115" s="552"/>
      <c r="F115" s="554"/>
      <c r="G115" s="396">
        <f t="shared" si="157"/>
        <v>0</v>
      </c>
      <c r="H115" s="397">
        <f t="shared" ref="H115" si="248">H114*$F114/$E114</f>
        <v>0</v>
      </c>
      <c r="I115" s="397">
        <f t="shared" ref="I115" si="249">I114*$F114/$E114</f>
        <v>0</v>
      </c>
      <c r="J115" s="397">
        <f t="shared" ref="J115" si="250">J114*$F114/$E114</f>
        <v>0</v>
      </c>
      <c r="K115" s="397">
        <f t="shared" ref="K115" si="251">K114*$F114/$E114</f>
        <v>0</v>
      </c>
      <c r="L115" s="397">
        <f t="shared" ref="L115" si="252">L114*$F114/$E114</f>
        <v>0</v>
      </c>
    </row>
    <row r="116" spans="1:12" x14ac:dyDescent="0.35">
      <c r="A116" s="543">
        <v>58</v>
      </c>
      <c r="B116" s="545" t="s">
        <v>481</v>
      </c>
      <c r="C116" s="547" t="s">
        <v>381</v>
      </c>
      <c r="D116" s="549">
        <v>71145</v>
      </c>
      <c r="E116" s="551">
        <v>80</v>
      </c>
      <c r="F116" s="553">
        <v>52.41</v>
      </c>
      <c r="G116" s="390">
        <v>10</v>
      </c>
      <c r="H116" s="416"/>
      <c r="I116" s="416"/>
      <c r="J116" s="416"/>
      <c r="K116" s="416"/>
      <c r="L116" s="416"/>
    </row>
    <row r="117" spans="1:12" ht="15" thickBot="1" x14ac:dyDescent="0.4">
      <c r="A117" s="544"/>
      <c r="B117" s="546"/>
      <c r="C117" s="548"/>
      <c r="D117" s="550"/>
      <c r="E117" s="552"/>
      <c r="F117" s="554"/>
      <c r="G117" s="392">
        <f t="shared" si="157"/>
        <v>6.55</v>
      </c>
      <c r="H117" s="393"/>
      <c r="I117" s="393"/>
      <c r="J117" s="393"/>
      <c r="K117" s="393"/>
      <c r="L117" s="393"/>
    </row>
    <row r="118" spans="1:12" x14ac:dyDescent="0.35">
      <c r="A118" s="543">
        <v>59</v>
      </c>
      <c r="B118" s="557" t="s">
        <v>482</v>
      </c>
      <c r="C118" s="547" t="s">
        <v>381</v>
      </c>
      <c r="D118" s="549">
        <v>437878</v>
      </c>
      <c r="E118" s="551">
        <v>12</v>
      </c>
      <c r="F118" s="553">
        <v>124</v>
      </c>
      <c r="G118" s="394">
        <v>12</v>
      </c>
      <c r="H118" s="417"/>
      <c r="I118" s="417"/>
      <c r="J118" s="417"/>
      <c r="K118" s="417"/>
      <c r="L118" s="417"/>
    </row>
    <row r="119" spans="1:12" ht="26.25" customHeight="1" thickBot="1" x14ac:dyDescent="0.4">
      <c r="A119" s="544"/>
      <c r="B119" s="558"/>
      <c r="C119" s="548"/>
      <c r="D119" s="550"/>
      <c r="E119" s="552"/>
      <c r="F119" s="554"/>
      <c r="G119" s="396">
        <f t="shared" si="157"/>
        <v>124</v>
      </c>
      <c r="H119" s="397"/>
      <c r="I119" s="397"/>
      <c r="J119" s="397"/>
      <c r="K119" s="397"/>
      <c r="L119" s="397"/>
    </row>
    <row r="120" spans="1:12" x14ac:dyDescent="0.35">
      <c r="A120" s="543">
        <v>60</v>
      </c>
      <c r="B120" s="545" t="s">
        <v>483</v>
      </c>
      <c r="C120" s="547" t="s">
        <v>381</v>
      </c>
      <c r="D120" s="549">
        <v>376174</v>
      </c>
      <c r="E120" s="551">
        <v>12</v>
      </c>
      <c r="F120" s="553">
        <v>32.96</v>
      </c>
      <c r="G120" s="390">
        <v>12</v>
      </c>
      <c r="H120" s="416"/>
      <c r="I120" s="416"/>
      <c r="J120" s="416"/>
      <c r="K120" s="416"/>
      <c r="L120" s="416"/>
    </row>
    <row r="121" spans="1:12" ht="30.75" customHeight="1" thickBot="1" x14ac:dyDescent="0.4">
      <c r="A121" s="544"/>
      <c r="B121" s="546"/>
      <c r="C121" s="548"/>
      <c r="D121" s="550"/>
      <c r="E121" s="552"/>
      <c r="F121" s="554"/>
      <c r="G121" s="392">
        <f t="shared" si="157"/>
        <v>32.96</v>
      </c>
      <c r="H121" s="393"/>
      <c r="I121" s="393"/>
      <c r="J121" s="393"/>
      <c r="K121" s="393"/>
      <c r="L121" s="393"/>
    </row>
    <row r="122" spans="1:12" x14ac:dyDescent="0.35">
      <c r="A122" s="543">
        <v>61</v>
      </c>
      <c r="B122" s="545" t="s">
        <v>484</v>
      </c>
      <c r="C122" s="547" t="s">
        <v>381</v>
      </c>
      <c r="D122" s="549">
        <v>335113</v>
      </c>
      <c r="E122" s="551">
        <v>80</v>
      </c>
      <c r="F122" s="553">
        <v>85.43</v>
      </c>
      <c r="G122" s="394">
        <v>5</v>
      </c>
      <c r="H122" s="417"/>
      <c r="I122" s="417"/>
      <c r="J122" s="417"/>
      <c r="K122" s="417"/>
      <c r="L122" s="417"/>
    </row>
    <row r="123" spans="1:12" ht="15" thickBot="1" x14ac:dyDescent="0.4">
      <c r="A123" s="544"/>
      <c r="B123" s="546"/>
      <c r="C123" s="548"/>
      <c r="D123" s="550"/>
      <c r="E123" s="552"/>
      <c r="F123" s="554"/>
      <c r="G123" s="396">
        <f t="shared" si="157"/>
        <v>5.34</v>
      </c>
      <c r="H123" s="397"/>
      <c r="I123" s="397"/>
      <c r="J123" s="397"/>
      <c r="K123" s="397"/>
      <c r="L123" s="397"/>
    </row>
    <row r="124" spans="1:12" x14ac:dyDescent="0.35">
      <c r="A124" s="543">
        <v>62</v>
      </c>
      <c r="B124" s="545" t="s">
        <v>485</v>
      </c>
      <c r="C124" s="547" t="s">
        <v>381</v>
      </c>
      <c r="D124" s="549">
        <v>240322</v>
      </c>
      <c r="E124" s="551">
        <v>120</v>
      </c>
      <c r="F124" s="553">
        <v>12.18</v>
      </c>
      <c r="G124" s="390">
        <v>5</v>
      </c>
      <c r="H124" s="416"/>
      <c r="I124" s="416"/>
      <c r="J124" s="416"/>
      <c r="K124" s="416"/>
      <c r="L124" s="416"/>
    </row>
    <row r="125" spans="1:12" ht="15" thickBot="1" x14ac:dyDescent="0.4">
      <c r="A125" s="544"/>
      <c r="B125" s="546"/>
      <c r="C125" s="548"/>
      <c r="D125" s="550"/>
      <c r="E125" s="552"/>
      <c r="F125" s="554"/>
      <c r="G125" s="392">
        <f t="shared" si="157"/>
        <v>0.51</v>
      </c>
      <c r="H125" s="393"/>
      <c r="I125" s="393"/>
      <c r="J125" s="393"/>
      <c r="K125" s="393"/>
      <c r="L125" s="393"/>
    </row>
    <row r="126" spans="1:12" x14ac:dyDescent="0.35">
      <c r="A126" s="543">
        <v>63</v>
      </c>
      <c r="B126" s="555" t="s">
        <v>486</v>
      </c>
      <c r="C126" s="547" t="s">
        <v>381</v>
      </c>
      <c r="D126" s="549">
        <v>373903</v>
      </c>
      <c r="E126" s="551">
        <v>24</v>
      </c>
      <c r="F126" s="553">
        <v>9.1300000000000008</v>
      </c>
      <c r="G126" s="390">
        <v>10</v>
      </c>
      <c r="H126" s="416"/>
      <c r="I126" s="416"/>
      <c r="J126" s="416"/>
      <c r="K126" s="416"/>
      <c r="L126" s="416"/>
    </row>
    <row r="127" spans="1:12" ht="15" thickBot="1" x14ac:dyDescent="0.4">
      <c r="A127" s="544"/>
      <c r="B127" s="556"/>
      <c r="C127" s="548"/>
      <c r="D127" s="550"/>
      <c r="E127" s="552"/>
      <c r="F127" s="554"/>
      <c r="G127" s="396">
        <f t="shared" si="157"/>
        <v>3.8</v>
      </c>
      <c r="H127" s="397"/>
      <c r="I127" s="397"/>
      <c r="J127" s="397"/>
      <c r="K127" s="397"/>
      <c r="L127" s="397"/>
    </row>
    <row r="128" spans="1:12" x14ac:dyDescent="0.35">
      <c r="A128" s="543">
        <v>64</v>
      </c>
      <c r="B128" s="555" t="s">
        <v>487</v>
      </c>
      <c r="C128" s="547" t="s">
        <v>382</v>
      </c>
      <c r="D128" s="549">
        <v>251235</v>
      </c>
      <c r="E128" s="551">
        <v>80</v>
      </c>
      <c r="F128" s="553">
        <v>32.83</v>
      </c>
      <c r="G128" s="390">
        <v>27</v>
      </c>
      <c r="H128" s="416"/>
      <c r="I128" s="416"/>
      <c r="J128" s="416"/>
      <c r="K128" s="416"/>
      <c r="L128" s="416"/>
    </row>
    <row r="129" spans="1:12" ht="15" thickBot="1" x14ac:dyDescent="0.4">
      <c r="A129" s="544"/>
      <c r="B129" s="556"/>
      <c r="C129" s="548"/>
      <c r="D129" s="550"/>
      <c r="E129" s="552"/>
      <c r="F129" s="554"/>
      <c r="G129" s="396">
        <f t="shared" si="157"/>
        <v>11.08</v>
      </c>
      <c r="H129" s="397"/>
      <c r="I129" s="397"/>
      <c r="J129" s="397"/>
      <c r="K129" s="397"/>
      <c r="L129" s="397"/>
    </row>
    <row r="130" spans="1:12" x14ac:dyDescent="0.35">
      <c r="A130" s="543">
        <v>65</v>
      </c>
      <c r="B130" s="555" t="s">
        <v>488</v>
      </c>
      <c r="C130" s="547" t="s">
        <v>381</v>
      </c>
      <c r="D130" s="549" t="s">
        <v>495</v>
      </c>
      <c r="E130" s="551">
        <v>80</v>
      </c>
      <c r="F130" s="553">
        <v>912.89</v>
      </c>
      <c r="G130" s="390">
        <v>2</v>
      </c>
      <c r="H130" s="416"/>
      <c r="I130" s="416"/>
      <c r="J130" s="416"/>
      <c r="K130" s="416"/>
      <c r="L130" s="416"/>
    </row>
    <row r="131" spans="1:12" ht="24.75" customHeight="1" thickBot="1" x14ac:dyDescent="0.4">
      <c r="A131" s="544"/>
      <c r="B131" s="556"/>
      <c r="C131" s="548"/>
      <c r="D131" s="550"/>
      <c r="E131" s="552"/>
      <c r="F131" s="554"/>
      <c r="G131" s="396">
        <f t="shared" si="157"/>
        <v>22.82</v>
      </c>
      <c r="H131" s="397"/>
      <c r="I131" s="397"/>
      <c r="J131" s="397"/>
      <c r="K131" s="397"/>
      <c r="L131" s="397"/>
    </row>
    <row r="132" spans="1:12" ht="15" thickBot="1" x14ac:dyDescent="0.4">
      <c r="A132" s="418"/>
      <c r="B132" s="418"/>
      <c r="C132" s="419"/>
      <c r="D132" s="419"/>
      <c r="E132" s="490" t="s">
        <v>93</v>
      </c>
      <c r="F132" s="492"/>
      <c r="G132" s="420">
        <f>SUM(G6+G8+G10+G12+G14+G16+G18+G21+G23+G25+G27+G29+G31+G33+G35+G37+G41+G43+G47+G45+G51+G57+G55+G53+G61+G103+G111+G113+G107+G79+G39+G49+G59+G63+G65+G67+G69+G71+G73+G75+G77+G81+G83+G85+G87+G89+G91+G93+G95+G97+G99+G101+G105+G109+G115+G117+G119+G121+G123+G125+G127+G131)</f>
        <v>572.80999999999995</v>
      </c>
      <c r="H132" s="420">
        <f t="shared" ref="H132:L132" si="253">SUM(H6+H8+H10+H12+H14+H16+H18+H21+H23+H25+H27+H29+H31+H33+H35+H37+H41+H43+H47+H45+H51+H57+H55+H53+H61+H103+H111+H113+H107+H79+H39+H49+H59+H63+H65+H67+H69+H71+H73+H75+H77+H81+H83+H85+H87+H89+H91+H93+H95+H97+H99+H101+H105+H109+H115+H117+H119+H121+H123+H125+H127+H131)</f>
        <v>53.89</v>
      </c>
      <c r="I132" s="420">
        <f t="shared" si="253"/>
        <v>47.04</v>
      </c>
      <c r="J132" s="420">
        <f t="shared" si="253"/>
        <v>24.47</v>
      </c>
      <c r="K132" s="420">
        <f t="shared" si="253"/>
        <v>53.2</v>
      </c>
      <c r="L132" s="420">
        <f t="shared" si="253"/>
        <v>74.25</v>
      </c>
    </row>
    <row r="133" spans="1:12" ht="15" thickBot="1" x14ac:dyDescent="0.4">
      <c r="A133" s="418"/>
      <c r="B133" s="418"/>
      <c r="C133" s="419"/>
      <c r="D133" s="419"/>
      <c r="E133" s="487" t="s">
        <v>323</v>
      </c>
      <c r="F133" s="489"/>
      <c r="G133" s="335">
        <f>MATERIAIS!F124</f>
        <v>11</v>
      </c>
      <c r="H133" s="336">
        <f>MATERIAIS!G124</f>
        <v>2</v>
      </c>
      <c r="I133" s="336">
        <f>MATERIAIS!H124</f>
        <v>5</v>
      </c>
      <c r="J133" s="336">
        <f>MATERIAIS!I124</f>
        <v>2</v>
      </c>
      <c r="K133" s="336">
        <f>MATERIAIS!J124</f>
        <v>3</v>
      </c>
      <c r="L133" s="336">
        <f>MATERIAIS!K124</f>
        <v>3</v>
      </c>
    </row>
    <row r="134" spans="1:12" ht="15" thickBot="1" x14ac:dyDescent="0.4">
      <c r="A134" s="418"/>
      <c r="B134" s="418"/>
      <c r="C134" s="419"/>
      <c r="D134" s="419"/>
      <c r="E134" s="490" t="s">
        <v>383</v>
      </c>
      <c r="F134" s="492"/>
      <c r="G134" s="338">
        <f>G132/G133</f>
        <v>52.07</v>
      </c>
      <c r="H134" s="339">
        <f t="shared" ref="H134:L134" si="254">H132/H133</f>
        <v>26.95</v>
      </c>
      <c r="I134" s="339">
        <f t="shared" si="254"/>
        <v>9.41</v>
      </c>
      <c r="J134" s="339">
        <f t="shared" si="254"/>
        <v>12.24</v>
      </c>
      <c r="K134" s="339">
        <f t="shared" si="254"/>
        <v>17.73</v>
      </c>
      <c r="L134" s="339">
        <f t="shared" si="254"/>
        <v>24.75</v>
      </c>
    </row>
    <row r="135" spans="1:12" ht="49.5" customHeight="1" thickBot="1" x14ac:dyDescent="0.4">
      <c r="A135" s="418"/>
      <c r="B135" s="418"/>
      <c r="C135" s="419"/>
      <c r="D135" s="419"/>
      <c r="E135" s="419"/>
      <c r="F135" s="418"/>
      <c r="G135" s="418"/>
      <c r="H135" s="418"/>
      <c r="I135" s="418"/>
      <c r="J135" s="418"/>
      <c r="K135" s="418"/>
      <c r="L135" s="418"/>
    </row>
    <row r="136" spans="1:12" ht="15" thickBot="1" x14ac:dyDescent="0.4">
      <c r="A136" s="559" t="s">
        <v>480</v>
      </c>
      <c r="B136" s="560"/>
      <c r="C136" s="560"/>
      <c r="D136" s="560"/>
      <c r="E136" s="560"/>
      <c r="F136" s="560"/>
      <c r="G136" s="561"/>
      <c r="H136" s="418"/>
      <c r="I136" s="418"/>
      <c r="J136" s="418"/>
      <c r="K136" s="418"/>
      <c r="L136" s="418"/>
    </row>
    <row r="137" spans="1:12" ht="54.75" customHeight="1" x14ac:dyDescent="0.35">
      <c r="A137" s="574" t="s">
        <v>303</v>
      </c>
      <c r="B137" s="574" t="s">
        <v>330</v>
      </c>
      <c r="C137" s="574" t="s">
        <v>379</v>
      </c>
      <c r="D137" s="574" t="s">
        <v>254</v>
      </c>
      <c r="E137" s="574" t="s">
        <v>9</v>
      </c>
      <c r="F137" s="574" t="s">
        <v>380</v>
      </c>
      <c r="G137" s="574" t="s">
        <v>517</v>
      </c>
      <c r="H137" s="418"/>
      <c r="I137" s="418"/>
      <c r="J137" s="418"/>
      <c r="K137" s="418"/>
      <c r="L137" s="418"/>
    </row>
    <row r="138" spans="1:12" ht="15" thickBot="1" x14ac:dyDescent="0.4">
      <c r="A138" s="575"/>
      <c r="B138" s="575"/>
      <c r="C138" s="575"/>
      <c r="D138" s="575"/>
      <c r="E138" s="575"/>
      <c r="F138" s="575"/>
      <c r="G138" s="575"/>
      <c r="H138" s="418"/>
      <c r="I138" s="418"/>
      <c r="J138" s="418"/>
      <c r="K138" s="418"/>
      <c r="L138" s="418"/>
    </row>
    <row r="139" spans="1:12" x14ac:dyDescent="0.35">
      <c r="A139" s="543">
        <v>1</v>
      </c>
      <c r="B139" s="545" t="s">
        <v>403</v>
      </c>
      <c r="C139" s="547" t="s">
        <v>381</v>
      </c>
      <c r="D139" s="549">
        <v>451680</v>
      </c>
      <c r="E139" s="551">
        <v>120</v>
      </c>
      <c r="F139" s="579">
        <f>F5</f>
        <v>360.71</v>
      </c>
      <c r="G139" s="421">
        <v>2</v>
      </c>
      <c r="H139" s="418"/>
      <c r="I139" s="418"/>
      <c r="J139" s="418"/>
      <c r="K139" s="418"/>
      <c r="L139" s="418"/>
    </row>
    <row r="140" spans="1:12" ht="41.25" customHeight="1" x14ac:dyDescent="0.35">
      <c r="A140" s="563"/>
      <c r="B140" s="578"/>
      <c r="C140" s="567"/>
      <c r="D140" s="569"/>
      <c r="E140" s="571"/>
      <c r="F140" s="573"/>
      <c r="G140" s="422">
        <f>G139*F139/E139</f>
        <v>6.01</v>
      </c>
      <c r="H140" s="418"/>
      <c r="I140" s="418"/>
      <c r="J140" s="418"/>
      <c r="K140" s="418"/>
      <c r="L140" s="418"/>
    </row>
    <row r="141" spans="1:12" x14ac:dyDescent="0.35">
      <c r="A141" s="562">
        <v>2</v>
      </c>
      <c r="B141" s="564" t="s">
        <v>415</v>
      </c>
      <c r="C141" s="566" t="s">
        <v>381</v>
      </c>
      <c r="D141" s="568">
        <v>449983</v>
      </c>
      <c r="E141" s="570">
        <v>120</v>
      </c>
      <c r="F141" s="572">
        <f>F44</f>
        <v>911.99</v>
      </c>
      <c r="G141" s="423">
        <v>2</v>
      </c>
      <c r="H141" s="418"/>
      <c r="I141" s="418"/>
      <c r="J141" s="418"/>
      <c r="K141" s="418"/>
      <c r="L141" s="418"/>
    </row>
    <row r="142" spans="1:12" ht="117" customHeight="1" thickBot="1" x14ac:dyDescent="0.4">
      <c r="A142" s="563"/>
      <c r="B142" s="565"/>
      <c r="C142" s="567"/>
      <c r="D142" s="569"/>
      <c r="E142" s="571"/>
      <c r="F142" s="573"/>
      <c r="G142" s="422">
        <f>G141*F141/E141</f>
        <v>15.2</v>
      </c>
      <c r="H142" s="418"/>
      <c r="I142" s="418"/>
      <c r="J142" s="418"/>
      <c r="K142" s="418"/>
      <c r="L142" s="418"/>
    </row>
    <row r="143" spans="1:12" ht="15" thickBot="1" x14ac:dyDescent="0.4">
      <c r="A143" s="418"/>
      <c r="B143" s="418"/>
      <c r="C143" s="419"/>
      <c r="D143" s="419"/>
      <c r="E143" s="576" t="s">
        <v>93</v>
      </c>
      <c r="F143" s="577"/>
      <c r="G143" s="424">
        <f>G140+G142</f>
        <v>21.21</v>
      </c>
      <c r="H143" s="418"/>
      <c r="I143" s="418"/>
      <c r="J143" s="418"/>
      <c r="K143" s="418"/>
      <c r="L143" s="418"/>
    </row>
    <row r="144" spans="1:12" ht="15" thickBot="1" x14ac:dyDescent="0.4">
      <c r="A144" s="418"/>
      <c r="B144" s="418"/>
      <c r="C144" s="419"/>
      <c r="D144" s="419"/>
      <c r="E144" s="487" t="s">
        <v>323</v>
      </c>
      <c r="F144" s="489"/>
      <c r="G144" s="425">
        <f>MATERIAIS!G143</f>
        <v>2</v>
      </c>
      <c r="H144" s="418"/>
      <c r="I144" s="418"/>
      <c r="J144" s="418"/>
      <c r="K144" s="418"/>
      <c r="L144" s="418"/>
    </row>
    <row r="145" spans="1:12" ht="15" thickBot="1" x14ac:dyDescent="0.4">
      <c r="A145" s="418"/>
      <c r="B145" s="418"/>
      <c r="C145" s="419"/>
      <c r="D145" s="419"/>
      <c r="E145" s="490" t="s">
        <v>383</v>
      </c>
      <c r="F145" s="492"/>
      <c r="G145" s="426">
        <f>G143/G144</f>
        <v>10.61</v>
      </c>
      <c r="H145" s="418"/>
      <c r="I145" s="418"/>
      <c r="J145" s="418"/>
      <c r="K145" s="418"/>
      <c r="L145" s="418"/>
    </row>
  </sheetData>
  <protectedRanges>
    <protectedRange sqref="F5:F45 F139:F142 F48:F131" name="Intervalo1_1"/>
    <protectedRange sqref="F46:F47" name="Intervalo1_1_1"/>
  </protectedRanges>
  <mergeCells count="411">
    <mergeCell ref="E133:F133"/>
    <mergeCell ref="E134:F134"/>
    <mergeCell ref="D28:D29"/>
    <mergeCell ref="A86:A87"/>
    <mergeCell ref="B86:B87"/>
    <mergeCell ref="C42:C43"/>
    <mergeCell ref="C46:C47"/>
    <mergeCell ref="C48:C49"/>
    <mergeCell ref="E132:F132"/>
    <mergeCell ref="A80:A81"/>
    <mergeCell ref="B80:B81"/>
    <mergeCell ref="A82:A83"/>
    <mergeCell ref="B82:B83"/>
    <mergeCell ref="B84:B85"/>
    <mergeCell ref="A84:A85"/>
    <mergeCell ref="A74:A75"/>
    <mergeCell ref="B74:B75"/>
    <mergeCell ref="B76:B77"/>
    <mergeCell ref="A76:A77"/>
    <mergeCell ref="B78:B79"/>
    <mergeCell ref="A78:A79"/>
    <mergeCell ref="A68:A69"/>
    <mergeCell ref="B68:B69"/>
    <mergeCell ref="B70:B71"/>
    <mergeCell ref="A70:A71"/>
    <mergeCell ref="A72:A73"/>
    <mergeCell ref="B72:B73"/>
    <mergeCell ref="A62:A63"/>
    <mergeCell ref="B62:B63"/>
    <mergeCell ref="A64:A65"/>
    <mergeCell ref="B64:B65"/>
    <mergeCell ref="A66:A67"/>
    <mergeCell ref="B66:B67"/>
    <mergeCell ref="B56:B57"/>
    <mergeCell ref="A56:A57"/>
    <mergeCell ref="A58:A59"/>
    <mergeCell ref="B58:B59"/>
    <mergeCell ref="B60:B61"/>
    <mergeCell ref="A60:A61"/>
    <mergeCell ref="B50:B51"/>
    <mergeCell ref="A50:A51"/>
    <mergeCell ref="A52:A53"/>
    <mergeCell ref="B52:B53"/>
    <mergeCell ref="B54:B55"/>
    <mergeCell ref="A54:A55"/>
    <mergeCell ref="A44:A45"/>
    <mergeCell ref="B44:B45"/>
    <mergeCell ref="B46:B47"/>
    <mergeCell ref="A46:A47"/>
    <mergeCell ref="A48:A49"/>
    <mergeCell ref="B48:B49"/>
    <mergeCell ref="B38:B39"/>
    <mergeCell ref="A38:A39"/>
    <mergeCell ref="A40:A41"/>
    <mergeCell ref="B40:B41"/>
    <mergeCell ref="B42:B43"/>
    <mergeCell ref="A42:A43"/>
    <mergeCell ref="A32:A33"/>
    <mergeCell ref="B32:B33"/>
    <mergeCell ref="B34:B35"/>
    <mergeCell ref="A34:A35"/>
    <mergeCell ref="A36:A37"/>
    <mergeCell ref="B36:B37"/>
    <mergeCell ref="A26:A27"/>
    <mergeCell ref="B26:B27"/>
    <mergeCell ref="B28:B29"/>
    <mergeCell ref="A28:A29"/>
    <mergeCell ref="A30:A31"/>
    <mergeCell ref="B30:B31"/>
    <mergeCell ref="A20:A21"/>
    <mergeCell ref="B20:B21"/>
    <mergeCell ref="B22:B23"/>
    <mergeCell ref="A22:A23"/>
    <mergeCell ref="B24:B25"/>
    <mergeCell ref="A24:A25"/>
    <mergeCell ref="A13:A14"/>
    <mergeCell ref="A15:A16"/>
    <mergeCell ref="B13:B14"/>
    <mergeCell ref="B15:B16"/>
    <mergeCell ref="B17:B18"/>
    <mergeCell ref="A17:A18"/>
    <mergeCell ref="A90:A91"/>
    <mergeCell ref="B90:B91"/>
    <mergeCell ref="B88:B89"/>
    <mergeCell ref="A88:A89"/>
    <mergeCell ref="C112:C113"/>
    <mergeCell ref="C110:C111"/>
    <mergeCell ref="C108:C109"/>
    <mergeCell ref="C94:C95"/>
    <mergeCell ref="C96:C97"/>
    <mergeCell ref="C98:C99"/>
    <mergeCell ref="A102:A103"/>
    <mergeCell ref="A100:A101"/>
    <mergeCell ref="A98:A99"/>
    <mergeCell ref="A96:A97"/>
    <mergeCell ref="A94:A95"/>
    <mergeCell ref="A92:A93"/>
    <mergeCell ref="B104:B105"/>
    <mergeCell ref="B106:B107"/>
    <mergeCell ref="B108:B109"/>
    <mergeCell ref="B110:B111"/>
    <mergeCell ref="B112:B113"/>
    <mergeCell ref="A112:A113"/>
    <mergeCell ref="A110:A111"/>
    <mergeCell ref="A108:A109"/>
    <mergeCell ref="A106:A107"/>
    <mergeCell ref="A104:A105"/>
    <mergeCell ref="B92:B93"/>
    <mergeCell ref="B94:B95"/>
    <mergeCell ref="B96:B97"/>
    <mergeCell ref="B98:B99"/>
    <mergeCell ref="B100:B101"/>
    <mergeCell ref="B102:B103"/>
    <mergeCell ref="C100:C101"/>
    <mergeCell ref="C102:C103"/>
    <mergeCell ref="C104:C105"/>
    <mergeCell ref="C106:C107"/>
    <mergeCell ref="C82:C83"/>
    <mergeCell ref="C84:C85"/>
    <mergeCell ref="C86:C87"/>
    <mergeCell ref="C88:C89"/>
    <mergeCell ref="C90:C91"/>
    <mergeCell ref="C92:C93"/>
    <mergeCell ref="C70:C71"/>
    <mergeCell ref="C72:C73"/>
    <mergeCell ref="C74:C75"/>
    <mergeCell ref="C76:C77"/>
    <mergeCell ref="C78:C79"/>
    <mergeCell ref="C80:C81"/>
    <mergeCell ref="C58:C59"/>
    <mergeCell ref="C60:C61"/>
    <mergeCell ref="C62:C63"/>
    <mergeCell ref="C64:C65"/>
    <mergeCell ref="C66:C67"/>
    <mergeCell ref="C68:C69"/>
    <mergeCell ref="C40:C41"/>
    <mergeCell ref="C44:C45"/>
    <mergeCell ref="C50:C51"/>
    <mergeCell ref="C52:C53"/>
    <mergeCell ref="C54:C55"/>
    <mergeCell ref="C56:C57"/>
    <mergeCell ref="C28:C29"/>
    <mergeCell ref="C30:C31"/>
    <mergeCell ref="C32:C33"/>
    <mergeCell ref="C34:C35"/>
    <mergeCell ref="C36:C37"/>
    <mergeCell ref="C38:C39"/>
    <mergeCell ref="E40:E41"/>
    <mergeCell ref="E38:E39"/>
    <mergeCell ref="E36:E37"/>
    <mergeCell ref="D38:D39"/>
    <mergeCell ref="D40:D41"/>
    <mergeCell ref="C13:C14"/>
    <mergeCell ref="C15:C16"/>
    <mergeCell ref="C17:C18"/>
    <mergeCell ref="C20:C21"/>
    <mergeCell ref="C22:C23"/>
    <mergeCell ref="C24:C25"/>
    <mergeCell ref="C26:C27"/>
    <mergeCell ref="E52:E53"/>
    <mergeCell ref="E50:E51"/>
    <mergeCell ref="E48:E49"/>
    <mergeCell ref="E46:E47"/>
    <mergeCell ref="E44:E45"/>
    <mergeCell ref="E42:E43"/>
    <mergeCell ref="E28:E29"/>
    <mergeCell ref="E30:E31"/>
    <mergeCell ref="E32:E33"/>
    <mergeCell ref="E34:E35"/>
    <mergeCell ref="E15:E16"/>
    <mergeCell ref="E17:E18"/>
    <mergeCell ref="E20:E21"/>
    <mergeCell ref="E22:E23"/>
    <mergeCell ref="E24:E25"/>
    <mergeCell ref="E26:E27"/>
    <mergeCell ref="D36:D37"/>
    <mergeCell ref="E64:E65"/>
    <mergeCell ref="E62:E63"/>
    <mergeCell ref="E60:E61"/>
    <mergeCell ref="E58:E59"/>
    <mergeCell ref="E56:E57"/>
    <mergeCell ref="E54:E55"/>
    <mergeCell ref="E76:E77"/>
    <mergeCell ref="E74:E75"/>
    <mergeCell ref="E72:E73"/>
    <mergeCell ref="E70:E71"/>
    <mergeCell ref="E68:E69"/>
    <mergeCell ref="E66:E67"/>
    <mergeCell ref="E88:E89"/>
    <mergeCell ref="E86:E87"/>
    <mergeCell ref="E84:E85"/>
    <mergeCell ref="E82:E83"/>
    <mergeCell ref="E80:E81"/>
    <mergeCell ref="E78:E79"/>
    <mergeCell ref="E100:E101"/>
    <mergeCell ref="E98:E99"/>
    <mergeCell ref="E96:E97"/>
    <mergeCell ref="E94:E95"/>
    <mergeCell ref="E92:E93"/>
    <mergeCell ref="E90:E91"/>
    <mergeCell ref="E112:E113"/>
    <mergeCell ref="E110:E111"/>
    <mergeCell ref="E108:E109"/>
    <mergeCell ref="E106:E107"/>
    <mergeCell ref="E104:E105"/>
    <mergeCell ref="E102:E103"/>
    <mergeCell ref="F106:F107"/>
    <mergeCell ref="F108:F109"/>
    <mergeCell ref="F110:F111"/>
    <mergeCell ref="F112:F113"/>
    <mergeCell ref="F86:F87"/>
    <mergeCell ref="F88:F89"/>
    <mergeCell ref="F90:F91"/>
    <mergeCell ref="F92:F93"/>
    <mergeCell ref="F94:F95"/>
    <mergeCell ref="F96:F97"/>
    <mergeCell ref="F74:F75"/>
    <mergeCell ref="F76:F77"/>
    <mergeCell ref="F78:F79"/>
    <mergeCell ref="F80:F81"/>
    <mergeCell ref="F82:F83"/>
    <mergeCell ref="F84:F85"/>
    <mergeCell ref="F54:F55"/>
    <mergeCell ref="F56:F57"/>
    <mergeCell ref="F58:F59"/>
    <mergeCell ref="F60:F61"/>
    <mergeCell ref="F62:F63"/>
    <mergeCell ref="F64:F65"/>
    <mergeCell ref="F34:F35"/>
    <mergeCell ref="F36:F37"/>
    <mergeCell ref="F38:F39"/>
    <mergeCell ref="F40:F41"/>
    <mergeCell ref="F42:F43"/>
    <mergeCell ref="F44:F45"/>
    <mergeCell ref="F114:F115"/>
    <mergeCell ref="B114:B115"/>
    <mergeCell ref="A114:A115"/>
    <mergeCell ref="F11:F12"/>
    <mergeCell ref="F13:F14"/>
    <mergeCell ref="F15:F16"/>
    <mergeCell ref="F17:F18"/>
    <mergeCell ref="F20:F21"/>
    <mergeCell ref="F22:F23"/>
    <mergeCell ref="F24:F25"/>
    <mergeCell ref="D108:D109"/>
    <mergeCell ref="D110:D111"/>
    <mergeCell ref="D112:D113"/>
    <mergeCell ref="D114:D115"/>
    <mergeCell ref="C114:C115"/>
    <mergeCell ref="E114:E115"/>
    <mergeCell ref="D96:D97"/>
    <mergeCell ref="D98:D99"/>
    <mergeCell ref="D100:D101"/>
    <mergeCell ref="D102:D103"/>
    <mergeCell ref="D104:D105"/>
    <mergeCell ref="D106:D107"/>
    <mergeCell ref="D84:D85"/>
    <mergeCell ref="D86:D87"/>
    <mergeCell ref="D88:D89"/>
    <mergeCell ref="D90:D91"/>
    <mergeCell ref="D92:D93"/>
    <mergeCell ref="D94:D95"/>
    <mergeCell ref="D72:D73"/>
    <mergeCell ref="D74:D75"/>
    <mergeCell ref="D76:D77"/>
    <mergeCell ref="D78:D79"/>
    <mergeCell ref="D80:D81"/>
    <mergeCell ref="D82:D83"/>
    <mergeCell ref="D60:D61"/>
    <mergeCell ref="D62:D63"/>
    <mergeCell ref="D64:D65"/>
    <mergeCell ref="D66:D67"/>
    <mergeCell ref="D68:D69"/>
    <mergeCell ref="D70:D71"/>
    <mergeCell ref="D48:D49"/>
    <mergeCell ref="D50:D51"/>
    <mergeCell ref="D52:D53"/>
    <mergeCell ref="D54:D55"/>
    <mergeCell ref="D56:D57"/>
    <mergeCell ref="D58:D59"/>
    <mergeCell ref="D42:D43"/>
    <mergeCell ref="D44:D45"/>
    <mergeCell ref="D46:D47"/>
    <mergeCell ref="D24:D25"/>
    <mergeCell ref="D26:D27"/>
    <mergeCell ref="D30:D31"/>
    <mergeCell ref="D32:D33"/>
    <mergeCell ref="D34:D35"/>
    <mergeCell ref="E13:E14"/>
    <mergeCell ref="D13:D14"/>
    <mergeCell ref="D15:D16"/>
    <mergeCell ref="D17:D18"/>
    <mergeCell ref="D20:D21"/>
    <mergeCell ref="D22:D23"/>
    <mergeCell ref="B11:B12"/>
    <mergeCell ref="C11:C12"/>
    <mergeCell ref="D11:D12"/>
    <mergeCell ref="E11:E12"/>
    <mergeCell ref="A7:A8"/>
    <mergeCell ref="B7:B8"/>
    <mergeCell ref="C7:C8"/>
    <mergeCell ref="D7:D8"/>
    <mergeCell ref="E7:E8"/>
    <mergeCell ref="F7:F8"/>
    <mergeCell ref="F9:F10"/>
    <mergeCell ref="A9:A10"/>
    <mergeCell ref="B9:B10"/>
    <mergeCell ref="F98:F99"/>
    <mergeCell ref="F100:F101"/>
    <mergeCell ref="F102:F103"/>
    <mergeCell ref="F104:F105"/>
    <mergeCell ref="F66:F67"/>
    <mergeCell ref="F68:F69"/>
    <mergeCell ref="F70:F71"/>
    <mergeCell ref="F72:F73"/>
    <mergeCell ref="F46:F47"/>
    <mergeCell ref="F48:F49"/>
    <mergeCell ref="F50:F51"/>
    <mergeCell ref="F52:F53"/>
    <mergeCell ref="F26:F27"/>
    <mergeCell ref="F28:F29"/>
    <mergeCell ref="F30:F31"/>
    <mergeCell ref="F32:F33"/>
    <mergeCell ref="C9:C10"/>
    <mergeCell ref="D9:D10"/>
    <mergeCell ref="E9:E10"/>
    <mergeCell ref="A11:A12"/>
    <mergeCell ref="A3:A4"/>
    <mergeCell ref="G3:L3"/>
    <mergeCell ref="C3:C4"/>
    <mergeCell ref="D3:D4"/>
    <mergeCell ref="A5:A6"/>
    <mergeCell ref="B5:B6"/>
    <mergeCell ref="C5:C6"/>
    <mergeCell ref="D5:D6"/>
    <mergeCell ref="E5:E6"/>
    <mergeCell ref="B3:B4"/>
    <mergeCell ref="F3:F4"/>
    <mergeCell ref="E3:E4"/>
    <mergeCell ref="F5:F6"/>
    <mergeCell ref="E144:F144"/>
    <mergeCell ref="E145:F145"/>
    <mergeCell ref="A136:G136"/>
    <mergeCell ref="A141:A142"/>
    <mergeCell ref="B141:B142"/>
    <mergeCell ref="C141:C142"/>
    <mergeCell ref="D141:D142"/>
    <mergeCell ref="E141:E142"/>
    <mergeCell ref="F141:F142"/>
    <mergeCell ref="G137:G138"/>
    <mergeCell ref="E143:F143"/>
    <mergeCell ref="A137:A138"/>
    <mergeCell ref="B137:B138"/>
    <mergeCell ref="C137:C138"/>
    <mergeCell ref="D137:D138"/>
    <mergeCell ref="E137:E138"/>
    <mergeCell ref="F137:F138"/>
    <mergeCell ref="A139:A140"/>
    <mergeCell ref="B139:B140"/>
    <mergeCell ref="C139:C140"/>
    <mergeCell ref="D139:D140"/>
    <mergeCell ref="E139:E140"/>
    <mergeCell ref="F139:F140"/>
    <mergeCell ref="A120:A121"/>
    <mergeCell ref="B120:B121"/>
    <mergeCell ref="C120:C121"/>
    <mergeCell ref="D120:D121"/>
    <mergeCell ref="E120:E121"/>
    <mergeCell ref="F120:F121"/>
    <mergeCell ref="A122:A123"/>
    <mergeCell ref="B122:B123"/>
    <mergeCell ref="C122:C123"/>
    <mergeCell ref="D122:D123"/>
    <mergeCell ref="E122:E123"/>
    <mergeCell ref="F122:F123"/>
    <mergeCell ref="A116:A117"/>
    <mergeCell ref="B116:B117"/>
    <mergeCell ref="C116:C117"/>
    <mergeCell ref="D116:D117"/>
    <mergeCell ref="E116:E117"/>
    <mergeCell ref="F116:F117"/>
    <mergeCell ref="A118:A119"/>
    <mergeCell ref="B118:B119"/>
    <mergeCell ref="C118:C119"/>
    <mergeCell ref="D118:D119"/>
    <mergeCell ref="E118:E119"/>
    <mergeCell ref="F118:F119"/>
    <mergeCell ref="A124:A125"/>
    <mergeCell ref="B124:B125"/>
    <mergeCell ref="C124:C125"/>
    <mergeCell ref="D124:D125"/>
    <mergeCell ref="E124:E125"/>
    <mergeCell ref="F124:F125"/>
    <mergeCell ref="A130:A131"/>
    <mergeCell ref="B130:B131"/>
    <mergeCell ref="C130:C131"/>
    <mergeCell ref="D130:D131"/>
    <mergeCell ref="E130:E131"/>
    <mergeCell ref="F130:F131"/>
    <mergeCell ref="A126:A127"/>
    <mergeCell ref="B126:B127"/>
    <mergeCell ref="C126:C127"/>
    <mergeCell ref="D126:D127"/>
    <mergeCell ref="E126:E127"/>
    <mergeCell ref="F126:F127"/>
    <mergeCell ref="A128:A129"/>
    <mergeCell ref="B128:B129"/>
    <mergeCell ref="C128:C129"/>
    <mergeCell ref="D128:D129"/>
    <mergeCell ref="E128:E129"/>
    <mergeCell ref="F128:F129"/>
  </mergeCells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40558D-3E06-4DB2-ABDB-11AD07A91558}">
  <dimension ref="B1:I17"/>
  <sheetViews>
    <sheetView workbookViewId="0">
      <selection activeCell="H2" sqref="H2"/>
    </sheetView>
  </sheetViews>
  <sheetFormatPr defaultRowHeight="14.5" x14ac:dyDescent="0.35"/>
  <cols>
    <col min="2" max="2" width="10.453125" bestFit="1" customWidth="1"/>
    <col min="3" max="3" width="12.26953125" bestFit="1" customWidth="1"/>
    <col min="4" max="4" width="15.26953125" customWidth="1"/>
    <col min="5" max="6" width="12.26953125" bestFit="1" customWidth="1"/>
    <col min="7" max="7" width="10.7265625" bestFit="1" customWidth="1"/>
    <col min="8" max="8" width="11.81640625" bestFit="1" customWidth="1"/>
    <col min="9" max="9" width="10.7265625" bestFit="1" customWidth="1"/>
  </cols>
  <sheetData>
    <row r="1" spans="2:9" x14ac:dyDescent="0.35">
      <c r="D1" s="211" t="s">
        <v>328</v>
      </c>
      <c r="E1" s="194" t="s">
        <v>506</v>
      </c>
      <c r="F1" s="194" t="s">
        <v>507</v>
      </c>
      <c r="G1" s="195" t="s">
        <v>508</v>
      </c>
      <c r="H1" s="195" t="s">
        <v>509</v>
      </c>
      <c r="I1" s="195" t="s">
        <v>510</v>
      </c>
    </row>
    <row r="2" spans="2:9" ht="15" thickBot="1" x14ac:dyDescent="0.4">
      <c r="B2" s="623" t="s">
        <v>464</v>
      </c>
      <c r="C2" s="624"/>
      <c r="D2" s="212">
        <f>MATERIAIS!F123</f>
        <v>6729.21</v>
      </c>
      <c r="E2" s="212">
        <f>MATERIAIS!G123</f>
        <v>1570.08</v>
      </c>
      <c r="F2" s="212">
        <f>MATERIAIS!H123</f>
        <v>2077.9699999999998</v>
      </c>
      <c r="G2" s="212">
        <f>MATERIAIS!I123</f>
        <v>847.63</v>
      </c>
      <c r="H2" s="212">
        <f>MATERIAIS!J123</f>
        <v>1320.44</v>
      </c>
      <c r="I2" s="212">
        <f>MATERIAIS!K123</f>
        <v>833.67</v>
      </c>
    </row>
    <row r="3" spans="2:9" ht="15" thickBot="1" x14ac:dyDescent="0.4">
      <c r="B3" s="623" t="s">
        <v>93</v>
      </c>
      <c r="C3" s="624"/>
      <c r="D3" s="205">
        <f>EQUIPAMENTOS!G132</f>
        <v>572.80999999999995</v>
      </c>
      <c r="E3" s="205">
        <f>EQUIPAMENTOS!H132</f>
        <v>53.89</v>
      </c>
      <c r="F3" s="205">
        <f>EQUIPAMENTOS!I132</f>
        <v>47.04</v>
      </c>
      <c r="G3" s="205">
        <f>EQUIPAMENTOS!J132</f>
        <v>24.47</v>
      </c>
      <c r="H3" s="205">
        <f>EQUIPAMENTOS!K132</f>
        <v>53.2</v>
      </c>
      <c r="I3" s="205">
        <f>EQUIPAMENTOS!L132</f>
        <v>74.25</v>
      </c>
    </row>
    <row r="4" spans="2:9" ht="15" thickBot="1" x14ac:dyDescent="0.4"/>
    <row r="5" spans="2:9" ht="15" thickBot="1" x14ac:dyDescent="0.4">
      <c r="B5" s="625" t="s">
        <v>323</v>
      </c>
      <c r="C5" s="626"/>
      <c r="D5" s="213">
        <f>MATERIAIS!F124</f>
        <v>11</v>
      </c>
      <c r="E5" s="213">
        <f>MATERIAIS!G124</f>
        <v>2</v>
      </c>
      <c r="F5" s="213">
        <f>MATERIAIS!H124</f>
        <v>5</v>
      </c>
      <c r="G5" s="213">
        <f>MATERIAIS!I124</f>
        <v>2</v>
      </c>
      <c r="H5" s="213">
        <f>MATERIAIS!J124</f>
        <v>3</v>
      </c>
      <c r="I5" s="213">
        <f>MATERIAIS!K124</f>
        <v>3</v>
      </c>
    </row>
    <row r="6" spans="2:9" ht="15" thickBot="1" x14ac:dyDescent="0.4">
      <c r="B6" s="627" t="s">
        <v>383</v>
      </c>
      <c r="C6" s="628"/>
      <c r="D6" s="212">
        <f>(D2+D3)/D5</f>
        <v>663.82</v>
      </c>
      <c r="E6" s="212">
        <f t="shared" ref="E6:I6" si="0">(E2+E3)/E5</f>
        <v>811.99</v>
      </c>
      <c r="F6" s="212">
        <f t="shared" si="0"/>
        <v>425</v>
      </c>
      <c r="G6" s="212">
        <f t="shared" si="0"/>
        <v>436.05</v>
      </c>
      <c r="H6" s="212">
        <f t="shared" si="0"/>
        <v>457.88</v>
      </c>
      <c r="I6" s="212">
        <f t="shared" si="0"/>
        <v>302.64</v>
      </c>
    </row>
    <row r="10" spans="2:9" ht="15.75" customHeight="1" thickBot="1" x14ac:dyDescent="0.4"/>
    <row r="11" spans="2:9" ht="27" x14ac:dyDescent="0.35">
      <c r="B11" s="215" t="s">
        <v>139</v>
      </c>
      <c r="C11" s="216" t="s">
        <v>464</v>
      </c>
      <c r="D11" s="216" t="s">
        <v>465</v>
      </c>
      <c r="E11" s="217" t="s">
        <v>323</v>
      </c>
      <c r="F11" s="218" t="s">
        <v>383</v>
      </c>
    </row>
    <row r="12" spans="2:9" x14ac:dyDescent="0.35">
      <c r="B12" s="219" t="s">
        <v>328</v>
      </c>
      <c r="C12" s="221">
        <f>D2</f>
        <v>6729.21</v>
      </c>
      <c r="D12" s="221">
        <f>D3</f>
        <v>572.80999999999995</v>
      </c>
      <c r="E12" s="214">
        <f>D5</f>
        <v>11</v>
      </c>
      <c r="F12" s="222">
        <f t="shared" ref="F12:F17" si="1">(C12+D12)/E12</f>
        <v>663.82</v>
      </c>
    </row>
    <row r="13" spans="2:9" x14ac:dyDescent="0.35">
      <c r="B13" s="219" t="s">
        <v>506</v>
      </c>
      <c r="C13" s="221">
        <f>MATERIAIS!G142</f>
        <v>705.57</v>
      </c>
      <c r="D13" s="221">
        <f>EQUIPAMENTOS!G143</f>
        <v>21.21</v>
      </c>
      <c r="E13" s="196">
        <f>EQUIPAMENTOS!G144</f>
        <v>2</v>
      </c>
      <c r="F13" s="222">
        <f t="shared" si="1"/>
        <v>363.39</v>
      </c>
    </row>
    <row r="14" spans="2:9" x14ac:dyDescent="0.35">
      <c r="B14" s="220" t="s">
        <v>507</v>
      </c>
      <c r="C14" s="221">
        <f>E2</f>
        <v>1570.08</v>
      </c>
      <c r="D14" s="221">
        <f>E3</f>
        <v>53.89</v>
      </c>
      <c r="E14" s="214">
        <f>E5</f>
        <v>2</v>
      </c>
      <c r="F14" s="222">
        <f t="shared" si="1"/>
        <v>811.99</v>
      </c>
    </row>
    <row r="15" spans="2:9" x14ac:dyDescent="0.35">
      <c r="B15" s="220" t="s">
        <v>508</v>
      </c>
      <c r="C15" s="221">
        <f>F2</f>
        <v>2077.9699999999998</v>
      </c>
      <c r="D15" s="221">
        <f>F3</f>
        <v>47.04</v>
      </c>
      <c r="E15" s="214">
        <f>F5</f>
        <v>5</v>
      </c>
      <c r="F15" s="222">
        <f t="shared" si="1"/>
        <v>425</v>
      </c>
    </row>
    <row r="16" spans="2:9" x14ac:dyDescent="0.35">
      <c r="B16" s="220" t="s">
        <v>509</v>
      </c>
      <c r="C16" s="221">
        <f>G2</f>
        <v>847.63</v>
      </c>
      <c r="D16" s="221">
        <f>G3</f>
        <v>24.47</v>
      </c>
      <c r="E16" s="214">
        <f>G5</f>
        <v>2</v>
      </c>
      <c r="F16" s="222">
        <f t="shared" si="1"/>
        <v>436.05</v>
      </c>
    </row>
    <row r="17" spans="2:6" x14ac:dyDescent="0.35">
      <c r="B17" s="220" t="s">
        <v>510</v>
      </c>
      <c r="C17" s="221">
        <f>H2</f>
        <v>1320.44</v>
      </c>
      <c r="D17" s="221">
        <f>H3</f>
        <v>53.2</v>
      </c>
      <c r="E17" s="214">
        <f>H5</f>
        <v>3</v>
      </c>
      <c r="F17" s="222">
        <f t="shared" si="1"/>
        <v>457.88</v>
      </c>
    </row>
  </sheetData>
  <mergeCells count="4">
    <mergeCell ref="B2:C2"/>
    <mergeCell ref="B5:C5"/>
    <mergeCell ref="B6:C6"/>
    <mergeCell ref="B3:C3"/>
  </mergeCells>
  <conditionalFormatting sqref="F12:F17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6:I6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A0BAB5-0C36-4DA2-B0D3-EA30FB7B436E}">
  <sheetPr codeName="Planilha7">
    <pageSetUpPr fitToPage="1"/>
  </sheetPr>
  <dimension ref="A1:K214"/>
  <sheetViews>
    <sheetView view="pageBreakPreview" topLeftCell="A185" zoomScale="85" zoomScaleNormal="85" zoomScaleSheetLayoutView="85" workbookViewId="0">
      <selection activeCell="D67" sqref="D67"/>
    </sheetView>
  </sheetViews>
  <sheetFormatPr defaultColWidth="9.1796875" defaultRowHeight="14.5" outlineLevelRow="3" x14ac:dyDescent="0.35"/>
  <cols>
    <col min="1" max="1" width="16.7265625" customWidth="1"/>
    <col min="2" max="2" width="76.81640625" customWidth="1"/>
    <col min="3" max="3" width="22.81640625" customWidth="1"/>
    <col min="4" max="4" width="23.54296875" customWidth="1"/>
    <col min="7" max="7" width="14.453125" bestFit="1" customWidth="1"/>
    <col min="11" max="11" width="13.453125" bestFit="1" customWidth="1"/>
  </cols>
  <sheetData>
    <row r="1" spans="1:4" ht="15" x14ac:dyDescent="0.35">
      <c r="A1" s="683" t="s">
        <v>6</v>
      </c>
      <c r="B1" s="683"/>
      <c r="C1" s="683"/>
      <c r="D1" s="683"/>
    </row>
    <row r="2" spans="1:4" ht="15" x14ac:dyDescent="0.35">
      <c r="A2" s="684" t="s">
        <v>12</v>
      </c>
      <c r="B2" s="684"/>
      <c r="C2" s="685" t="s">
        <v>519</v>
      </c>
      <c r="D2" s="686"/>
    </row>
    <row r="3" spans="1:4" ht="15" x14ac:dyDescent="0.35">
      <c r="A3" s="684" t="s">
        <v>13</v>
      </c>
      <c r="B3" s="684"/>
      <c r="C3" s="685" t="s">
        <v>270</v>
      </c>
      <c r="D3" s="686"/>
    </row>
    <row r="4" spans="1:4" ht="15" x14ac:dyDescent="0.35">
      <c r="A4" s="687"/>
      <c r="B4" s="687"/>
      <c r="C4" s="687"/>
      <c r="D4" s="687"/>
    </row>
    <row r="5" spans="1:4" ht="15" x14ac:dyDescent="0.35">
      <c r="A5" s="687" t="s">
        <v>14</v>
      </c>
      <c r="B5" s="687"/>
      <c r="C5" s="687"/>
      <c r="D5" s="687"/>
    </row>
    <row r="6" spans="1:4" ht="15" x14ac:dyDescent="0.35">
      <c r="A6" s="65" t="s">
        <v>15</v>
      </c>
      <c r="B6" s="63" t="s">
        <v>5</v>
      </c>
      <c r="C6" s="707" t="s">
        <v>144</v>
      </c>
      <c r="D6" s="708"/>
    </row>
    <row r="7" spans="1:4" ht="15" x14ac:dyDescent="0.35">
      <c r="A7" s="65" t="s">
        <v>16</v>
      </c>
      <c r="B7" s="63" t="s">
        <v>4</v>
      </c>
      <c r="C7" s="690" t="s">
        <v>518</v>
      </c>
      <c r="D7" s="690"/>
    </row>
    <row r="8" spans="1:4" ht="15" x14ac:dyDescent="0.35">
      <c r="A8" s="25" t="s">
        <v>17</v>
      </c>
      <c r="B8" s="26" t="s">
        <v>18</v>
      </c>
      <c r="C8" s="709" t="s">
        <v>521</v>
      </c>
      <c r="D8" s="710"/>
    </row>
    <row r="9" spans="1:4" ht="15" x14ac:dyDescent="0.35">
      <c r="A9" s="65" t="s">
        <v>19</v>
      </c>
      <c r="B9" s="63" t="s">
        <v>20</v>
      </c>
      <c r="C9" s="700" t="s">
        <v>21</v>
      </c>
      <c r="D9" s="701"/>
    </row>
    <row r="10" spans="1:4" ht="15" x14ac:dyDescent="0.35">
      <c r="A10" s="65" t="s">
        <v>22</v>
      </c>
      <c r="B10" s="63" t="s">
        <v>23</v>
      </c>
      <c r="C10" s="700" t="s">
        <v>262</v>
      </c>
      <c r="D10" s="701"/>
    </row>
    <row r="11" spans="1:4" ht="15" x14ac:dyDescent="0.35">
      <c r="A11" s="65" t="s">
        <v>24</v>
      </c>
      <c r="B11" s="63" t="s">
        <v>370</v>
      </c>
      <c r="C11" s="691">
        <f>Resumo!F5</f>
        <v>6422.3</v>
      </c>
      <c r="D11" s="692"/>
    </row>
    <row r="12" spans="1:4" ht="15" x14ac:dyDescent="0.35">
      <c r="A12" s="65" t="s">
        <v>52</v>
      </c>
      <c r="B12" s="63" t="s">
        <v>26</v>
      </c>
      <c r="C12" s="693">
        <f>Resumo!I5</f>
        <v>20</v>
      </c>
      <c r="D12" s="694"/>
    </row>
    <row r="13" spans="1:4" ht="15" x14ac:dyDescent="0.35">
      <c r="A13" s="695"/>
      <c r="B13" s="696"/>
      <c r="C13" s="696"/>
      <c r="D13" s="696"/>
    </row>
    <row r="14" spans="1:4" ht="15" x14ac:dyDescent="0.35">
      <c r="A14" s="697" t="s">
        <v>27</v>
      </c>
      <c r="B14" s="698"/>
      <c r="C14" s="698"/>
      <c r="D14" s="699"/>
    </row>
    <row r="15" spans="1:4" ht="15" x14ac:dyDescent="0.35">
      <c r="A15" s="690" t="s">
        <v>28</v>
      </c>
      <c r="B15" s="690"/>
      <c r="C15" s="690"/>
      <c r="D15" s="690"/>
    </row>
    <row r="16" spans="1:4" ht="15" x14ac:dyDescent="0.35">
      <c r="A16" s="65">
        <v>1</v>
      </c>
      <c r="B16" s="63" t="s">
        <v>29</v>
      </c>
      <c r="C16" s="700" t="s">
        <v>266</v>
      </c>
      <c r="D16" s="701" t="s">
        <v>0</v>
      </c>
    </row>
    <row r="17" spans="1:4" ht="15" x14ac:dyDescent="0.35">
      <c r="A17" s="65">
        <v>2</v>
      </c>
      <c r="B17" s="27" t="s">
        <v>30</v>
      </c>
      <c r="C17" s="688" t="s">
        <v>263</v>
      </c>
      <c r="D17" s="689"/>
    </row>
    <row r="18" spans="1:4" ht="15" x14ac:dyDescent="0.35">
      <c r="A18" s="690" t="s">
        <v>31</v>
      </c>
      <c r="B18" s="690"/>
      <c r="C18" s="690"/>
      <c r="D18" s="690"/>
    </row>
    <row r="19" spans="1:4" ht="15" x14ac:dyDescent="0.4">
      <c r="A19" s="65">
        <v>3</v>
      </c>
      <c r="B19" s="632" t="s">
        <v>3</v>
      </c>
      <c r="C19" s="633"/>
      <c r="D19" s="103">
        <v>1325</v>
      </c>
    </row>
    <row r="20" spans="1:4" ht="15" x14ac:dyDescent="0.4">
      <c r="A20" s="65">
        <v>4</v>
      </c>
      <c r="B20" s="632" t="s">
        <v>252</v>
      </c>
      <c r="C20" s="633"/>
      <c r="D20" s="155">
        <v>220</v>
      </c>
    </row>
    <row r="21" spans="1:4" ht="15" x14ac:dyDescent="0.35">
      <c r="A21" s="65">
        <v>5</v>
      </c>
      <c r="B21" s="632" t="s">
        <v>32</v>
      </c>
      <c r="C21" s="633"/>
      <c r="D21" s="73" t="s">
        <v>267</v>
      </c>
    </row>
    <row r="22" spans="1:4" ht="15" x14ac:dyDescent="0.35">
      <c r="A22" s="65">
        <v>6</v>
      </c>
      <c r="B22" s="632" t="s">
        <v>2</v>
      </c>
      <c r="C22" s="633"/>
      <c r="D22" s="74">
        <v>44562</v>
      </c>
    </row>
    <row r="23" spans="1:4" ht="15" x14ac:dyDescent="0.35">
      <c r="A23" s="700"/>
      <c r="B23" s="711"/>
      <c r="C23" s="711"/>
      <c r="D23" s="701"/>
    </row>
    <row r="24" spans="1:4" ht="15" x14ac:dyDescent="0.35">
      <c r="A24" s="712" t="s">
        <v>33</v>
      </c>
      <c r="B24" s="712"/>
      <c r="C24" s="712"/>
      <c r="D24" s="712"/>
    </row>
    <row r="25" spans="1:4" ht="15" x14ac:dyDescent="0.35">
      <c r="A25" s="713"/>
      <c r="B25" s="714"/>
      <c r="C25" s="714"/>
      <c r="D25" s="694"/>
    </row>
    <row r="26" spans="1:4" ht="15" x14ac:dyDescent="0.35">
      <c r="A26" s="64">
        <v>1</v>
      </c>
      <c r="B26" s="634" t="s">
        <v>34</v>
      </c>
      <c r="C26" s="636"/>
      <c r="D26" s="64" t="s">
        <v>35</v>
      </c>
    </row>
    <row r="27" spans="1:4" ht="15" outlineLevel="1" x14ac:dyDescent="0.35">
      <c r="A27" s="65" t="s">
        <v>36</v>
      </c>
      <c r="B27" s="63" t="s">
        <v>146</v>
      </c>
      <c r="C27" s="71">
        <v>220</v>
      </c>
      <c r="D27" s="104">
        <f>D19/220*C27</f>
        <v>1325</v>
      </c>
    </row>
    <row r="28" spans="1:4" ht="15" outlineLevel="1" x14ac:dyDescent="0.35">
      <c r="A28" s="65" t="s">
        <v>16</v>
      </c>
      <c r="B28" s="63" t="s">
        <v>147</v>
      </c>
      <c r="C28" s="28">
        <v>0</v>
      </c>
      <c r="D28" s="104">
        <f>C28*D27</f>
        <v>0</v>
      </c>
    </row>
    <row r="29" spans="1:4" ht="15" outlineLevel="1" x14ac:dyDescent="0.35">
      <c r="A29" s="65" t="s">
        <v>17</v>
      </c>
      <c r="B29" s="63" t="s">
        <v>38</v>
      </c>
      <c r="C29" s="28">
        <v>0.4</v>
      </c>
      <c r="D29" s="104">
        <v>0</v>
      </c>
    </row>
    <row r="30" spans="1:4" ht="15" outlineLevel="1" x14ac:dyDescent="0.35">
      <c r="A30" s="65" t="s">
        <v>19</v>
      </c>
      <c r="B30" s="63" t="s">
        <v>148</v>
      </c>
      <c r="C30" s="156">
        <v>0</v>
      </c>
      <c r="D30" s="105">
        <f>SUM(D31:D32)</f>
        <v>0</v>
      </c>
    </row>
    <row r="31" spans="1:4" ht="15" outlineLevel="2" x14ac:dyDescent="0.35">
      <c r="A31" s="78" t="s">
        <v>111</v>
      </c>
      <c r="B31" s="63" t="s">
        <v>149</v>
      </c>
      <c r="C31" s="79">
        <v>0.2</v>
      </c>
      <c r="D31" s="105">
        <f>(SUM(D27:D29)/C27)*C31*15*C30</f>
        <v>0</v>
      </c>
    </row>
    <row r="32" spans="1:4" ht="15" outlineLevel="2" x14ac:dyDescent="0.35">
      <c r="A32" s="78" t="s">
        <v>112</v>
      </c>
      <c r="B32" s="63" t="s">
        <v>150</v>
      </c>
      <c r="C32" s="80">
        <f>C30*(60/52.5)/8</f>
        <v>0</v>
      </c>
      <c r="D32" s="105">
        <f>(SUM(D27:D29)/C27)*(C31)*15*C32</f>
        <v>0</v>
      </c>
    </row>
    <row r="33" spans="1:7" ht="15" outlineLevel="1" x14ac:dyDescent="0.35">
      <c r="A33" s="65" t="s">
        <v>22</v>
      </c>
      <c r="B33" s="63" t="s">
        <v>151</v>
      </c>
      <c r="C33" s="28" t="s">
        <v>152</v>
      </c>
      <c r="D33" s="1">
        <f>SUM(D34:D37)</f>
        <v>0</v>
      </c>
    </row>
    <row r="34" spans="1:7" ht="15" outlineLevel="2" x14ac:dyDescent="0.35">
      <c r="A34" s="81" t="s">
        <v>153</v>
      </c>
      <c r="B34" s="82" t="s">
        <v>154</v>
      </c>
      <c r="C34" s="83">
        <v>0</v>
      </c>
      <c r="D34" s="106">
        <f>(SUM($D$27:$D$29)/$C$27)*C34*1.5</f>
        <v>0</v>
      </c>
    </row>
    <row r="35" spans="1:7" ht="15" outlineLevel="2" x14ac:dyDescent="0.35">
      <c r="A35" s="81" t="s">
        <v>155</v>
      </c>
      <c r="B35" s="84" t="s">
        <v>156</v>
      </c>
      <c r="C35" s="85">
        <v>0</v>
      </c>
      <c r="D35" s="106">
        <f>(SUM($D$27:$D$29)/$C$27)*C35*((60/52.5)*1.2*1.5)</f>
        <v>0</v>
      </c>
    </row>
    <row r="36" spans="1:7" ht="15" outlineLevel="2" x14ac:dyDescent="0.35">
      <c r="A36" s="81" t="s">
        <v>157</v>
      </c>
      <c r="B36" s="82" t="s">
        <v>158</v>
      </c>
      <c r="C36" s="86">
        <f>C34*0.1429</f>
        <v>0</v>
      </c>
      <c r="D36" s="106">
        <f>(SUM($D$27:$D$29)/$C$27)*C36*2</f>
        <v>0</v>
      </c>
    </row>
    <row r="37" spans="1:7" ht="15" outlineLevel="2" x14ac:dyDescent="0.35">
      <c r="A37" s="81" t="s">
        <v>159</v>
      </c>
      <c r="B37" s="82" t="s">
        <v>160</v>
      </c>
      <c r="C37" s="86">
        <f>C34*0.1429</f>
        <v>0</v>
      </c>
      <c r="D37" s="106">
        <f>(SUM($D$27:$D$29)/$C$27)*C37*((60/52.5)*1.2*2)</f>
        <v>0</v>
      </c>
    </row>
    <row r="38" spans="1:7" ht="15" outlineLevel="1" x14ac:dyDescent="0.35">
      <c r="A38" s="65" t="s">
        <v>24</v>
      </c>
      <c r="B38" s="55" t="s">
        <v>39</v>
      </c>
      <c r="C38" s="56">
        <v>0</v>
      </c>
      <c r="D38" s="107">
        <v>0</v>
      </c>
    </row>
    <row r="39" spans="1:7" ht="15" x14ac:dyDescent="0.35">
      <c r="A39" s="634" t="s">
        <v>40</v>
      </c>
      <c r="B39" s="635"/>
      <c r="C39" s="636"/>
      <c r="D39" s="108">
        <f>SUM(D27:D30,D33,D38)</f>
        <v>1325</v>
      </c>
      <c r="G39" s="166"/>
    </row>
    <row r="40" spans="1:7" ht="15" x14ac:dyDescent="0.35">
      <c r="A40" s="650"/>
      <c r="B40" s="650"/>
      <c r="C40" s="650"/>
      <c r="D40" s="650"/>
      <c r="G40" s="166"/>
    </row>
    <row r="41" spans="1:7" ht="15" outlineLevel="1" x14ac:dyDescent="0.35">
      <c r="A41" s="87" t="s">
        <v>161</v>
      </c>
      <c r="B41" s="109" t="s">
        <v>162</v>
      </c>
      <c r="C41" s="110" t="s">
        <v>163</v>
      </c>
      <c r="D41" s="110" t="s">
        <v>35</v>
      </c>
      <c r="G41" s="166"/>
    </row>
    <row r="42" spans="1:7" ht="15" outlineLevel="1" x14ac:dyDescent="0.35">
      <c r="A42" s="111" t="s">
        <v>36</v>
      </c>
      <c r="B42" s="27" t="s">
        <v>164</v>
      </c>
      <c r="C42" s="88">
        <v>0</v>
      </c>
      <c r="D42" s="112">
        <f>(SUM(D27)/$C$27)*C42*1.5</f>
        <v>0</v>
      </c>
      <c r="G42" s="166"/>
    </row>
    <row r="43" spans="1:7" ht="15" outlineLevel="1" x14ac:dyDescent="0.35">
      <c r="A43" s="113" t="s">
        <v>17</v>
      </c>
      <c r="B43" s="114" t="s">
        <v>165</v>
      </c>
      <c r="C43" s="115">
        <v>0</v>
      </c>
      <c r="D43" s="104">
        <f>C43*177</f>
        <v>0</v>
      </c>
      <c r="G43" s="166"/>
    </row>
    <row r="44" spans="1:7" ht="15" outlineLevel="1" x14ac:dyDescent="0.35">
      <c r="A44" s="65" t="s">
        <v>19</v>
      </c>
      <c r="B44" s="55" t="s">
        <v>39</v>
      </c>
      <c r="C44" s="56">
        <v>0</v>
      </c>
      <c r="D44" s="107">
        <v>0</v>
      </c>
      <c r="G44" s="166"/>
    </row>
    <row r="45" spans="1:7" ht="15" x14ac:dyDescent="0.35">
      <c r="A45" s="644" t="s">
        <v>166</v>
      </c>
      <c r="B45" s="645"/>
      <c r="C45" s="30">
        <f>D45/D39</f>
        <v>0</v>
      </c>
      <c r="D45" s="116">
        <f>SUM(D42:D43)</f>
        <v>0</v>
      </c>
      <c r="G45" s="166"/>
    </row>
    <row r="46" spans="1:7" ht="15" x14ac:dyDescent="0.35">
      <c r="A46" s="646"/>
      <c r="B46" s="647"/>
      <c r="C46" s="647"/>
      <c r="D46" s="648"/>
      <c r="G46" s="166"/>
    </row>
    <row r="47" spans="1:7" ht="15" x14ac:dyDescent="0.35">
      <c r="A47" s="663" t="s">
        <v>41</v>
      </c>
      <c r="B47" s="664"/>
      <c r="C47" s="664"/>
      <c r="D47" s="665"/>
      <c r="G47" s="166"/>
    </row>
    <row r="48" spans="1:7" ht="15" outlineLevel="1" x14ac:dyDescent="0.35">
      <c r="A48" s="646"/>
      <c r="B48" s="647"/>
      <c r="C48" s="647"/>
      <c r="D48" s="648"/>
      <c r="G48" s="166"/>
    </row>
    <row r="49" spans="1:7" ht="15" outlineLevel="1" x14ac:dyDescent="0.35">
      <c r="A49" s="110" t="s">
        <v>42</v>
      </c>
      <c r="B49" s="109" t="s">
        <v>43</v>
      </c>
      <c r="C49" s="110" t="s">
        <v>44</v>
      </c>
      <c r="D49" s="110" t="s">
        <v>35</v>
      </c>
      <c r="G49" s="166"/>
    </row>
    <row r="50" spans="1:7" ht="15" outlineLevel="2" x14ac:dyDescent="0.35">
      <c r="A50" s="113" t="s">
        <v>36</v>
      </c>
      <c r="B50" s="114" t="s">
        <v>45</v>
      </c>
      <c r="C50" s="29">
        <f>1/12</f>
        <v>8.3299999999999999E-2</v>
      </c>
      <c r="D50" s="169">
        <f>C50*D39</f>
        <v>110.37</v>
      </c>
      <c r="G50" s="166"/>
    </row>
    <row r="51" spans="1:7" ht="15" outlineLevel="2" x14ac:dyDescent="0.35">
      <c r="A51" s="113" t="s">
        <v>16</v>
      </c>
      <c r="B51" s="114" t="s">
        <v>113</v>
      </c>
      <c r="C51" s="29">
        <f>IF(C12&gt;60,(1/C12/3)*5,IF(C12&gt;48,(1/C12/3)*4,IF(C12&gt;36,(1/C12/3)*3,IF(C12&gt;24,(1/C12/3)*2,IF(C12&gt;12,(1/C12/3)*1,0)))))</f>
        <v>1.67E-2</v>
      </c>
      <c r="D51" s="169">
        <f>C51*D39</f>
        <v>22.13</v>
      </c>
      <c r="G51" s="166"/>
    </row>
    <row r="52" spans="1:7" ht="15" outlineLevel="1" x14ac:dyDescent="0.35">
      <c r="A52" s="644" t="s">
        <v>11</v>
      </c>
      <c r="B52" s="645"/>
      <c r="C52" s="30">
        <f>SUM(C50:C51)</f>
        <v>0.1</v>
      </c>
      <c r="D52" s="116">
        <f>SUM(D50:D51)</f>
        <v>132.5</v>
      </c>
      <c r="G52" s="166"/>
    </row>
    <row r="53" spans="1:7" ht="15" outlineLevel="1" x14ac:dyDescent="0.35">
      <c r="A53" s="646"/>
      <c r="B53" s="647"/>
      <c r="C53" s="647"/>
      <c r="D53" s="648"/>
      <c r="G53" s="166"/>
    </row>
    <row r="54" spans="1:7" ht="15" outlineLevel="1" x14ac:dyDescent="0.35">
      <c r="A54" s="110" t="s">
        <v>46</v>
      </c>
      <c r="B54" s="117" t="s">
        <v>47</v>
      </c>
      <c r="C54" s="110" t="s">
        <v>44</v>
      </c>
      <c r="D54" s="118" t="s">
        <v>35</v>
      </c>
      <c r="G54" s="166"/>
    </row>
    <row r="55" spans="1:7" ht="15" outlineLevel="2" x14ac:dyDescent="0.35">
      <c r="A55" s="111" t="s">
        <v>36</v>
      </c>
      <c r="B55" s="31" t="s">
        <v>48</v>
      </c>
      <c r="C55" s="32">
        <v>0.2</v>
      </c>
      <c r="D55" s="104">
        <f t="shared" ref="D55:D62" si="0">C55*($D$39+$D$52)</f>
        <v>291.5</v>
      </c>
      <c r="G55" s="166"/>
    </row>
    <row r="56" spans="1:7" ht="15" outlineLevel="2" x14ac:dyDescent="0.35">
      <c r="A56" s="111" t="s">
        <v>16</v>
      </c>
      <c r="B56" s="31" t="s">
        <v>49</v>
      </c>
      <c r="C56" s="32">
        <v>2.5000000000000001E-2</v>
      </c>
      <c r="D56" s="104">
        <f t="shared" si="0"/>
        <v>36.44</v>
      </c>
      <c r="G56" s="166"/>
    </row>
    <row r="57" spans="1:7" ht="15" outlineLevel="2" x14ac:dyDescent="0.35">
      <c r="A57" s="111" t="s">
        <v>17</v>
      </c>
      <c r="B57" s="31" t="s">
        <v>167</v>
      </c>
      <c r="C57" s="66">
        <v>0.03</v>
      </c>
      <c r="D57" s="104">
        <f t="shared" si="0"/>
        <v>43.73</v>
      </c>
      <c r="G57" s="166"/>
    </row>
    <row r="58" spans="1:7" ht="15" outlineLevel="2" x14ac:dyDescent="0.35">
      <c r="A58" s="111" t="s">
        <v>19</v>
      </c>
      <c r="B58" s="31" t="s">
        <v>168</v>
      </c>
      <c r="C58" s="32">
        <v>1.4999999999999999E-2</v>
      </c>
      <c r="D58" s="104">
        <f t="shared" si="0"/>
        <v>21.86</v>
      </c>
      <c r="G58" s="166"/>
    </row>
    <row r="59" spans="1:7" ht="15" outlineLevel="2" x14ac:dyDescent="0.35">
      <c r="A59" s="111" t="s">
        <v>22</v>
      </c>
      <c r="B59" s="31" t="s">
        <v>169</v>
      </c>
      <c r="C59" s="32">
        <v>0.01</v>
      </c>
      <c r="D59" s="104">
        <f t="shared" si="0"/>
        <v>14.58</v>
      </c>
      <c r="G59" s="166"/>
    </row>
    <row r="60" spans="1:7" ht="15" outlineLevel="2" x14ac:dyDescent="0.35">
      <c r="A60" s="111" t="s">
        <v>24</v>
      </c>
      <c r="B60" s="31" t="s">
        <v>50</v>
      </c>
      <c r="C60" s="32">
        <v>6.0000000000000001E-3</v>
      </c>
      <c r="D60" s="104">
        <f t="shared" si="0"/>
        <v>8.75</v>
      </c>
      <c r="G60" s="166"/>
    </row>
    <row r="61" spans="1:7" ht="15" outlineLevel="2" x14ac:dyDescent="0.35">
      <c r="A61" s="111" t="s">
        <v>25</v>
      </c>
      <c r="B61" s="31" t="s">
        <v>51</v>
      </c>
      <c r="C61" s="32">
        <v>2E-3</v>
      </c>
      <c r="D61" s="104">
        <f t="shared" si="0"/>
        <v>2.92</v>
      </c>
      <c r="G61" s="166"/>
    </row>
    <row r="62" spans="1:7" ht="15" outlineLevel="2" x14ac:dyDescent="0.35">
      <c r="A62" s="111" t="s">
        <v>52</v>
      </c>
      <c r="B62" s="31" t="s">
        <v>53</v>
      </c>
      <c r="C62" s="32">
        <v>0.08</v>
      </c>
      <c r="D62" s="104">
        <f t="shared" si="0"/>
        <v>116.6</v>
      </c>
      <c r="G62" s="166"/>
    </row>
    <row r="63" spans="1:7" ht="15" outlineLevel="1" x14ac:dyDescent="0.35">
      <c r="A63" s="644" t="s">
        <v>11</v>
      </c>
      <c r="B63" s="645"/>
      <c r="C63" s="33">
        <f>SUM(C55:C62)</f>
        <v>0.36799999999999999</v>
      </c>
      <c r="D63" s="119">
        <f>SUM(D55:D62)</f>
        <v>536.38</v>
      </c>
      <c r="G63" s="166"/>
    </row>
    <row r="64" spans="1:7" ht="15" outlineLevel="1" x14ac:dyDescent="0.35">
      <c r="A64" s="646"/>
      <c r="B64" s="647"/>
      <c r="C64" s="647"/>
      <c r="D64" s="648"/>
      <c r="G64" s="166"/>
    </row>
    <row r="65" spans="1:7" ht="15" outlineLevel="1" x14ac:dyDescent="0.35">
      <c r="A65" s="110" t="s">
        <v>54</v>
      </c>
      <c r="B65" s="117" t="s">
        <v>55</v>
      </c>
      <c r="C65" s="110" t="s">
        <v>56</v>
      </c>
      <c r="D65" s="110" t="s">
        <v>35</v>
      </c>
      <c r="G65" s="166"/>
    </row>
    <row r="66" spans="1:7" ht="15" outlineLevel="2" x14ac:dyDescent="0.35">
      <c r="A66" s="111" t="s">
        <v>36</v>
      </c>
      <c r="B66" s="31" t="s">
        <v>57</v>
      </c>
      <c r="C66" s="379">
        <v>4.4000000000000004</v>
      </c>
      <c r="D66" s="121">
        <f>IF(D67+D68&gt;0,(D67+D68),0)</f>
        <v>114.1</v>
      </c>
      <c r="G66" s="166"/>
    </row>
    <row r="67" spans="1:7" ht="15" outlineLevel="3" x14ac:dyDescent="0.35">
      <c r="A67" s="122" t="s">
        <v>110</v>
      </c>
      <c r="B67" s="31" t="s">
        <v>170</v>
      </c>
      <c r="C67" s="123">
        <v>22</v>
      </c>
      <c r="D67" s="124">
        <f>C66*C67*2</f>
        <v>193.6</v>
      </c>
      <c r="G67" s="166"/>
    </row>
    <row r="68" spans="1:7" ht="15" outlineLevel="3" x14ac:dyDescent="0.35">
      <c r="A68" s="122" t="s">
        <v>114</v>
      </c>
      <c r="B68" s="31" t="s">
        <v>171</v>
      </c>
      <c r="C68" s="125">
        <v>0.06</v>
      </c>
      <c r="D68" s="124">
        <f>-D27*C68</f>
        <v>-79.5</v>
      </c>
      <c r="G68" s="166"/>
    </row>
    <row r="69" spans="1:7" ht="15" outlineLevel="2" x14ac:dyDescent="0.35">
      <c r="A69" s="111" t="s">
        <v>16</v>
      </c>
      <c r="B69" s="31" t="s">
        <v>58</v>
      </c>
      <c r="C69" s="381">
        <f>290/22</f>
        <v>13.182</v>
      </c>
      <c r="D69" s="121">
        <f>D70+D71</f>
        <v>290</v>
      </c>
      <c r="G69" s="166"/>
    </row>
    <row r="70" spans="1:7" ht="15" outlineLevel="3" x14ac:dyDescent="0.35">
      <c r="A70" s="122" t="s">
        <v>90</v>
      </c>
      <c r="B70" s="31" t="s">
        <v>172</v>
      </c>
      <c r="C70" s="123">
        <v>22</v>
      </c>
      <c r="D70" s="124">
        <f>C69*C70</f>
        <v>290</v>
      </c>
      <c r="G70" s="166"/>
    </row>
    <row r="71" spans="1:7" ht="15" outlineLevel="3" x14ac:dyDescent="0.35">
      <c r="A71" s="122" t="s">
        <v>115</v>
      </c>
      <c r="B71" s="31" t="s">
        <v>91</v>
      </c>
      <c r="C71" s="380">
        <v>0</v>
      </c>
      <c r="D71" s="124">
        <f>D70*C71</f>
        <v>0</v>
      </c>
      <c r="G71" s="166"/>
    </row>
    <row r="72" spans="1:7" ht="15" outlineLevel="2" x14ac:dyDescent="0.35">
      <c r="A72" s="111" t="s">
        <v>17</v>
      </c>
      <c r="B72" s="75" t="s">
        <v>291</v>
      </c>
      <c r="C72" s="378">
        <v>9.6999999999999993</v>
      </c>
      <c r="D72" s="129">
        <f>C72</f>
        <v>9.6999999999999993</v>
      </c>
      <c r="G72" s="166"/>
    </row>
    <row r="73" spans="1:7" ht="15" outlineLevel="2" x14ac:dyDescent="0.35">
      <c r="A73" s="111" t="s">
        <v>19</v>
      </c>
      <c r="B73" s="76" t="s">
        <v>550</v>
      </c>
      <c r="C73" s="378">
        <v>4</v>
      </c>
      <c r="D73" s="129">
        <f>C73</f>
        <v>4</v>
      </c>
      <c r="G73" s="166"/>
    </row>
    <row r="74" spans="1:7" ht="15" outlineLevel="2" x14ac:dyDescent="0.35">
      <c r="A74" s="111" t="s">
        <v>22</v>
      </c>
      <c r="B74" s="75" t="s">
        <v>292</v>
      </c>
      <c r="C74" s="378">
        <v>0</v>
      </c>
      <c r="D74" s="129">
        <f>C74</f>
        <v>0</v>
      </c>
      <c r="G74" s="166"/>
    </row>
    <row r="75" spans="1:7" ht="15" outlineLevel="2" x14ac:dyDescent="0.35">
      <c r="A75" s="111" t="s">
        <v>24</v>
      </c>
      <c r="B75" s="75" t="s">
        <v>551</v>
      </c>
      <c r="C75" s="378">
        <v>97</v>
      </c>
      <c r="D75" s="129">
        <f>C75</f>
        <v>97</v>
      </c>
      <c r="G75" s="166"/>
    </row>
    <row r="76" spans="1:7" ht="15" outlineLevel="2" x14ac:dyDescent="0.35">
      <c r="A76" s="111" t="s">
        <v>25</v>
      </c>
      <c r="B76" s="75" t="s">
        <v>39</v>
      </c>
      <c r="C76" s="378">
        <v>0</v>
      </c>
      <c r="D76" s="130">
        <f>C76</f>
        <v>0</v>
      </c>
      <c r="G76" s="166"/>
    </row>
    <row r="77" spans="1:7" ht="15" outlineLevel="1" x14ac:dyDescent="0.35">
      <c r="A77" s="644" t="s">
        <v>59</v>
      </c>
      <c r="B77" s="657"/>
      <c r="C77" s="645"/>
      <c r="D77" s="116">
        <f>SUM(D66,D69,D72:D76)</f>
        <v>514.79999999999995</v>
      </c>
      <c r="G77" s="166"/>
    </row>
    <row r="78" spans="1:7" ht="15" outlineLevel="1" x14ac:dyDescent="0.35">
      <c r="A78" s="646"/>
      <c r="B78" s="647"/>
      <c r="C78" s="647"/>
      <c r="D78" s="648"/>
      <c r="G78" s="166"/>
    </row>
    <row r="79" spans="1:7" ht="15" outlineLevel="1" x14ac:dyDescent="0.35">
      <c r="A79" s="661" t="s">
        <v>60</v>
      </c>
      <c r="B79" s="662"/>
      <c r="C79" s="110" t="s">
        <v>44</v>
      </c>
      <c r="D79" s="110" t="s">
        <v>35</v>
      </c>
      <c r="G79" s="166"/>
    </row>
    <row r="80" spans="1:7" ht="15" outlineLevel="1" x14ac:dyDescent="0.35">
      <c r="A80" s="111" t="s">
        <v>61</v>
      </c>
      <c r="B80" s="31" t="s">
        <v>43</v>
      </c>
      <c r="C80" s="34">
        <f>C52</f>
        <v>0.1</v>
      </c>
      <c r="D80" s="104">
        <f>D52</f>
        <v>132.5</v>
      </c>
      <c r="G80" s="166"/>
    </row>
    <row r="81" spans="1:7" ht="15" outlineLevel="1" x14ac:dyDescent="0.35">
      <c r="A81" s="111" t="s">
        <v>46</v>
      </c>
      <c r="B81" s="31" t="s">
        <v>47</v>
      </c>
      <c r="C81" s="34">
        <f>C63</f>
        <v>0.36799999999999999</v>
      </c>
      <c r="D81" s="104">
        <f>D63</f>
        <v>536.38</v>
      </c>
      <c r="G81" s="166"/>
    </row>
    <row r="82" spans="1:7" ht="15" outlineLevel="1" x14ac:dyDescent="0.35">
      <c r="A82" s="111" t="s">
        <v>62</v>
      </c>
      <c r="B82" s="31" t="s">
        <v>55</v>
      </c>
      <c r="C82" s="34">
        <f>D77/D39</f>
        <v>0.38850000000000001</v>
      </c>
      <c r="D82" s="104">
        <f>D77</f>
        <v>514.79999999999995</v>
      </c>
      <c r="G82" s="166"/>
    </row>
    <row r="83" spans="1:7" ht="15" x14ac:dyDescent="0.35">
      <c r="A83" s="644" t="s">
        <v>11</v>
      </c>
      <c r="B83" s="657"/>
      <c r="C83" s="645"/>
      <c r="D83" s="116">
        <f>SUM(D80:D82)</f>
        <v>1183.68</v>
      </c>
      <c r="G83" s="166"/>
    </row>
    <row r="84" spans="1:7" ht="15" x14ac:dyDescent="0.35">
      <c r="A84" s="646"/>
      <c r="B84" s="647"/>
      <c r="C84" s="647"/>
      <c r="D84" s="648"/>
      <c r="G84" s="166"/>
    </row>
    <row r="85" spans="1:7" ht="15" x14ac:dyDescent="0.35">
      <c r="A85" s="680" t="s">
        <v>173</v>
      </c>
      <c r="B85" s="681"/>
      <c r="C85" s="681"/>
      <c r="D85" s="682"/>
      <c r="G85" s="166"/>
    </row>
    <row r="86" spans="1:7" ht="15" outlineLevel="1" x14ac:dyDescent="0.35">
      <c r="A86" s="646"/>
      <c r="B86" s="647"/>
      <c r="C86" s="647"/>
      <c r="D86" s="648"/>
      <c r="G86" s="166"/>
    </row>
    <row r="87" spans="1:7" ht="15" outlineLevel="1" x14ac:dyDescent="0.35">
      <c r="A87" s="64" t="s">
        <v>174</v>
      </c>
      <c r="B87" s="109" t="s">
        <v>175</v>
      </c>
      <c r="C87" s="110" t="s">
        <v>44</v>
      </c>
      <c r="D87" s="110" t="s">
        <v>35</v>
      </c>
      <c r="G87" s="166"/>
    </row>
    <row r="88" spans="1:7" ht="15" outlineLevel="2" x14ac:dyDescent="0.35">
      <c r="A88" s="35" t="s">
        <v>36</v>
      </c>
      <c r="B88" s="36" t="s">
        <v>176</v>
      </c>
      <c r="C88" s="35" t="s">
        <v>152</v>
      </c>
      <c r="D88" s="131">
        <f>IF(C99&gt;1,SUM(D89:D92)*2,SUM(D89:D92))</f>
        <v>1867.15</v>
      </c>
      <c r="G88" s="166"/>
    </row>
    <row r="89" spans="1:7" ht="15" outlineLevel="3" x14ac:dyDescent="0.35">
      <c r="A89" s="37" t="s">
        <v>177</v>
      </c>
      <c r="B89" s="38" t="s">
        <v>178</v>
      </c>
      <c r="C89" s="35">
        <f>(IF(C12&gt;60,45,IF(C12&gt;48,42,IF(C12&gt;36,39,IF(C12&gt;24,36,IF(C12&gt;12,33,30)))))/30)</f>
        <v>1.1000000000000001</v>
      </c>
      <c r="D89" s="168">
        <f>D39*C89</f>
        <v>1457.5</v>
      </c>
      <c r="G89" s="166"/>
    </row>
    <row r="90" spans="1:7" ht="15" outlineLevel="3" x14ac:dyDescent="0.35">
      <c r="A90" s="37" t="s">
        <v>179</v>
      </c>
      <c r="B90" s="38" t="s">
        <v>180</v>
      </c>
      <c r="C90" s="29">
        <f>1/12</f>
        <v>8.3299999999999999E-2</v>
      </c>
      <c r="D90" s="131">
        <f>C90*D89</f>
        <v>121.41</v>
      </c>
      <c r="G90" s="166"/>
    </row>
    <row r="91" spans="1:7" ht="15" outlineLevel="3" x14ac:dyDescent="0.35">
      <c r="A91" s="37" t="s">
        <v>181</v>
      </c>
      <c r="B91" s="38" t="s">
        <v>182</v>
      </c>
      <c r="C91" s="29">
        <f>(1/12)+(1/12/3)</f>
        <v>0.1111</v>
      </c>
      <c r="D91" s="132">
        <f>C91*D89</f>
        <v>161.93</v>
      </c>
      <c r="G91" s="166"/>
    </row>
    <row r="92" spans="1:7" ht="15" outlineLevel="3" x14ac:dyDescent="0.35">
      <c r="A92" s="37" t="s">
        <v>183</v>
      </c>
      <c r="B92" s="38" t="s">
        <v>184</v>
      </c>
      <c r="C92" s="39">
        <v>0.08</v>
      </c>
      <c r="D92" s="131">
        <f>SUM(D89:D90)*C92</f>
        <v>126.31</v>
      </c>
      <c r="G92" s="166"/>
    </row>
    <row r="93" spans="1:7" ht="15" outlineLevel="2" x14ac:dyDescent="0.35">
      <c r="A93" s="35" t="s">
        <v>16</v>
      </c>
      <c r="B93" s="36" t="s">
        <v>185</v>
      </c>
      <c r="C93" s="40">
        <v>0.4</v>
      </c>
      <c r="D93" s="131">
        <f>C93*D94</f>
        <v>934.21</v>
      </c>
      <c r="G93" s="166"/>
    </row>
    <row r="94" spans="1:7" ht="15" outlineLevel="3" x14ac:dyDescent="0.35">
      <c r="A94" s="35" t="s">
        <v>186</v>
      </c>
      <c r="B94" s="36" t="s">
        <v>187</v>
      </c>
      <c r="C94" s="40">
        <f>C62</f>
        <v>0.08</v>
      </c>
      <c r="D94" s="131">
        <f>C94*D95</f>
        <v>2335.5300000000002</v>
      </c>
      <c r="G94" s="166"/>
    </row>
    <row r="95" spans="1:7" ht="15" outlineLevel="3" x14ac:dyDescent="0.35">
      <c r="A95" s="35" t="s">
        <v>188</v>
      </c>
      <c r="B95" s="41" t="s">
        <v>116</v>
      </c>
      <c r="C95" s="42" t="s">
        <v>152</v>
      </c>
      <c r="D95" s="132">
        <f>SUM(D96:D98)</f>
        <v>29194.17</v>
      </c>
      <c r="G95" s="166"/>
    </row>
    <row r="96" spans="1:7" ht="15" outlineLevel="3" x14ac:dyDescent="0.35">
      <c r="A96" s="37" t="s">
        <v>189</v>
      </c>
      <c r="B96" s="38" t="s">
        <v>190</v>
      </c>
      <c r="C96" s="43">
        <f>C12-C98</f>
        <v>19</v>
      </c>
      <c r="D96" s="131">
        <f>D39*C96</f>
        <v>25175</v>
      </c>
      <c r="G96" s="166"/>
    </row>
    <row r="97" spans="1:7" ht="15" outlineLevel="3" x14ac:dyDescent="0.35">
      <c r="A97" s="37" t="s">
        <v>191</v>
      </c>
      <c r="B97" s="38" t="s">
        <v>192</v>
      </c>
      <c r="C97" s="44">
        <f>C12/12</f>
        <v>1.7</v>
      </c>
      <c r="D97" s="131">
        <f>D39*C97</f>
        <v>2252.5</v>
      </c>
      <c r="G97" s="166"/>
    </row>
    <row r="98" spans="1:7" ht="15" outlineLevel="3" x14ac:dyDescent="0.35">
      <c r="A98" s="37" t="s">
        <v>193</v>
      </c>
      <c r="B98" s="38" t="s">
        <v>194</v>
      </c>
      <c r="C98" s="42">
        <f>IF(C12&gt;60,5,IF(C12&gt;48,4,IF(C12&gt;36,3,IF(C12&gt;24,2,IF(C12&gt;12,1,0)))))</f>
        <v>1</v>
      </c>
      <c r="D98" s="132">
        <f>D39*C98*1.33333333333333</f>
        <v>1766.67</v>
      </c>
      <c r="G98" s="166"/>
    </row>
    <row r="99" spans="1:7" ht="15" outlineLevel="1" x14ac:dyDescent="0.35">
      <c r="A99" s="644" t="s">
        <v>11</v>
      </c>
      <c r="B99" s="645"/>
      <c r="C99" s="67">
        <v>5.5500000000000001E-2</v>
      </c>
      <c r="D99" s="116">
        <f>IF(C99&gt;1,D88+D93,(D88+D93)*C99)</f>
        <v>155.47999999999999</v>
      </c>
      <c r="G99" s="166"/>
    </row>
    <row r="100" spans="1:7" ht="15" outlineLevel="1" x14ac:dyDescent="0.35">
      <c r="A100" s="658"/>
      <c r="B100" s="659"/>
      <c r="C100" s="659"/>
      <c r="D100" s="660"/>
      <c r="G100" s="166"/>
    </row>
    <row r="101" spans="1:7" ht="15" outlineLevel="1" x14ac:dyDescent="0.35">
      <c r="A101" s="64" t="s">
        <v>195</v>
      </c>
      <c r="B101" s="109" t="s">
        <v>196</v>
      </c>
      <c r="C101" s="110" t="s">
        <v>44</v>
      </c>
      <c r="D101" s="110" t="s">
        <v>35</v>
      </c>
      <c r="G101" s="166"/>
    </row>
    <row r="102" spans="1:7" ht="15" outlineLevel="2" x14ac:dyDescent="0.35">
      <c r="A102" s="35" t="s">
        <v>36</v>
      </c>
      <c r="B102" s="41" t="s">
        <v>197</v>
      </c>
      <c r="C102" s="45">
        <f>IF(C111&gt;1,(1/30*7)*2,(1/30*7))</f>
        <v>0.23330000000000001</v>
      </c>
      <c r="D102" s="132">
        <f>C102*SUM(D103:D107)</f>
        <v>612.54999999999995</v>
      </c>
      <c r="G102" s="166"/>
    </row>
    <row r="103" spans="1:7" ht="15" outlineLevel="3" x14ac:dyDescent="0.35">
      <c r="A103" s="37" t="s">
        <v>177</v>
      </c>
      <c r="B103" s="38" t="s">
        <v>198</v>
      </c>
      <c r="C103" s="35">
        <v>1</v>
      </c>
      <c r="D103" s="131">
        <f>D39</f>
        <v>1325</v>
      </c>
      <c r="G103" s="166"/>
    </row>
    <row r="104" spans="1:7" ht="15" outlineLevel="3" x14ac:dyDescent="0.35">
      <c r="A104" s="37" t="s">
        <v>179</v>
      </c>
      <c r="B104" s="38" t="s">
        <v>199</v>
      </c>
      <c r="C104" s="29">
        <f>1/12</f>
        <v>8.3299999999999999E-2</v>
      </c>
      <c r="D104" s="131">
        <f>C104*D103</f>
        <v>110.37</v>
      </c>
      <c r="G104" s="166"/>
    </row>
    <row r="105" spans="1:7" ht="15" outlineLevel="3" x14ac:dyDescent="0.35">
      <c r="A105" s="37" t="s">
        <v>181</v>
      </c>
      <c r="B105" s="38" t="s">
        <v>200</v>
      </c>
      <c r="C105" s="29">
        <f>(1/12)+(1/12/3)</f>
        <v>0.1111</v>
      </c>
      <c r="D105" s="131">
        <f>C105*D103</f>
        <v>147.21</v>
      </c>
      <c r="G105" s="166"/>
    </row>
    <row r="106" spans="1:7" ht="15" outlineLevel="3" x14ac:dyDescent="0.35">
      <c r="A106" s="37" t="s">
        <v>183</v>
      </c>
      <c r="B106" s="46" t="s">
        <v>63</v>
      </c>
      <c r="C106" s="47">
        <f>C63</f>
        <v>0.36799999999999999</v>
      </c>
      <c r="D106" s="132">
        <f>C106*(D103+D104)</f>
        <v>528.22</v>
      </c>
      <c r="G106" s="166"/>
    </row>
    <row r="107" spans="1:7" ht="15" outlineLevel="3" x14ac:dyDescent="0.35">
      <c r="A107" s="37" t="s">
        <v>201</v>
      </c>
      <c r="B107" s="46" t="s">
        <v>202</v>
      </c>
      <c r="C107" s="42">
        <v>1</v>
      </c>
      <c r="D107" s="132">
        <f>D77</f>
        <v>514.79999999999995</v>
      </c>
      <c r="G107" s="166"/>
    </row>
    <row r="108" spans="1:7" ht="15" outlineLevel="2" x14ac:dyDescent="0.35">
      <c r="A108" s="35" t="s">
        <v>16</v>
      </c>
      <c r="B108" s="36" t="s">
        <v>203</v>
      </c>
      <c r="C108" s="40">
        <v>0.4</v>
      </c>
      <c r="D108" s="131">
        <f>C108*D109</f>
        <v>934.21</v>
      </c>
      <c r="G108" s="166"/>
    </row>
    <row r="109" spans="1:7" ht="15" outlineLevel="2" x14ac:dyDescent="0.35">
      <c r="A109" s="35" t="s">
        <v>186</v>
      </c>
      <c r="B109" s="36" t="s">
        <v>187</v>
      </c>
      <c r="C109" s="40">
        <f>C62</f>
        <v>0.08</v>
      </c>
      <c r="D109" s="131">
        <f>C109*D110</f>
        <v>2335.5300000000002</v>
      </c>
      <c r="G109" s="166"/>
    </row>
    <row r="110" spans="1:7" ht="15" outlineLevel="2" x14ac:dyDescent="0.35">
      <c r="A110" s="35" t="s">
        <v>188</v>
      </c>
      <c r="B110" s="41" t="s">
        <v>116</v>
      </c>
      <c r="C110" s="42" t="s">
        <v>152</v>
      </c>
      <c r="D110" s="132">
        <f>D95</f>
        <v>29194.17</v>
      </c>
      <c r="G110" s="166"/>
    </row>
    <row r="111" spans="1:7" ht="15" outlineLevel="1" x14ac:dyDescent="0.35">
      <c r="A111" s="644" t="s">
        <v>11</v>
      </c>
      <c r="B111" s="645"/>
      <c r="C111" s="67">
        <v>0.94450000000000001</v>
      </c>
      <c r="D111" s="116">
        <f>IF(C111&gt;1,D102+D108,(D102+D108)*C111)</f>
        <v>1460.91</v>
      </c>
      <c r="G111" s="166"/>
    </row>
    <row r="112" spans="1:7" ht="15" outlineLevel="1" x14ac:dyDescent="0.35">
      <c r="A112" s="658"/>
      <c r="B112" s="659"/>
      <c r="C112" s="659"/>
      <c r="D112" s="660"/>
      <c r="G112" s="166"/>
    </row>
    <row r="113" spans="1:7" ht="15" outlineLevel="1" x14ac:dyDescent="0.35">
      <c r="A113" s="64" t="s">
        <v>204</v>
      </c>
      <c r="B113" s="109" t="s">
        <v>205</v>
      </c>
      <c r="C113" s="110" t="s">
        <v>44</v>
      </c>
      <c r="D113" s="110" t="s">
        <v>35</v>
      </c>
      <c r="G113" s="166"/>
    </row>
    <row r="114" spans="1:7" ht="15" outlineLevel="2" x14ac:dyDescent="0.35">
      <c r="A114" s="111" t="s">
        <v>36</v>
      </c>
      <c r="B114" s="31" t="s">
        <v>206</v>
      </c>
      <c r="C114" s="34">
        <f>IF(C12&gt;60,(D39/12*(C12-60))/C12/D39,IF(C12&gt;48,(D39/12*(C12-48))/C12/D39,IF(C12&gt;36,(D39/12*(C12-36))/C12/D39,IF(C12&gt;24,(D39/12*(C12-24))/C12/D39,IF(C12&gt;12,((D39/12*(C12-12))/C12/D39),1/12)))))</f>
        <v>3.3300000000000003E-2</v>
      </c>
      <c r="D114" s="133">
        <f>C114*D39</f>
        <v>44.12</v>
      </c>
      <c r="G114" s="166"/>
    </row>
    <row r="115" spans="1:7" ht="15" outlineLevel="2" x14ac:dyDescent="0.35">
      <c r="A115" s="111" t="s">
        <v>16</v>
      </c>
      <c r="B115" s="48" t="s">
        <v>207</v>
      </c>
      <c r="C115" s="34">
        <f>C114/3</f>
        <v>1.11E-2</v>
      </c>
      <c r="D115" s="134">
        <f>C115*D39</f>
        <v>14.71</v>
      </c>
      <c r="G115" s="166"/>
    </row>
    <row r="116" spans="1:7" ht="15" outlineLevel="1" x14ac:dyDescent="0.35">
      <c r="A116" s="644" t="s">
        <v>11</v>
      </c>
      <c r="B116" s="645"/>
      <c r="C116" s="30">
        <f>C114+C115</f>
        <v>4.4400000000000002E-2</v>
      </c>
      <c r="D116" s="116">
        <f>SUM(D114:D115)</f>
        <v>58.83</v>
      </c>
      <c r="G116" s="166"/>
    </row>
    <row r="117" spans="1:7" ht="15" outlineLevel="1" x14ac:dyDescent="0.35">
      <c r="A117" s="658"/>
      <c r="B117" s="659"/>
      <c r="C117" s="659"/>
      <c r="D117" s="660"/>
      <c r="G117" s="166"/>
    </row>
    <row r="118" spans="1:7" ht="15" outlineLevel="1" x14ac:dyDescent="0.35">
      <c r="A118" s="661" t="s">
        <v>208</v>
      </c>
      <c r="B118" s="662"/>
      <c r="C118" s="110" t="s">
        <v>44</v>
      </c>
      <c r="D118" s="110" t="s">
        <v>35</v>
      </c>
      <c r="G118" s="166"/>
    </row>
    <row r="119" spans="1:7" ht="15" outlineLevel="1" x14ac:dyDescent="0.35">
      <c r="A119" s="111" t="s">
        <v>174</v>
      </c>
      <c r="B119" s="31" t="s">
        <v>175</v>
      </c>
      <c r="C119" s="34">
        <f>C99</f>
        <v>5.5500000000000001E-2</v>
      </c>
      <c r="D119" s="104">
        <f>D99</f>
        <v>155.47999999999999</v>
      </c>
      <c r="G119" s="166"/>
    </row>
    <row r="120" spans="1:7" ht="15" outlineLevel="1" x14ac:dyDescent="0.35">
      <c r="A120" s="113" t="s">
        <v>195</v>
      </c>
      <c r="B120" s="31" t="s">
        <v>196</v>
      </c>
      <c r="C120" s="49">
        <f>C111</f>
        <v>0.94450000000000001</v>
      </c>
      <c r="D120" s="104">
        <f>D111</f>
        <v>1460.91</v>
      </c>
      <c r="G120" s="166"/>
    </row>
    <row r="121" spans="1:7" ht="15" outlineLevel="1" x14ac:dyDescent="0.35">
      <c r="A121" s="679" t="s">
        <v>209</v>
      </c>
      <c r="B121" s="679"/>
      <c r="C121" s="679"/>
      <c r="D121" s="135">
        <f>D119+D120</f>
        <v>1616.39</v>
      </c>
      <c r="G121" s="166"/>
    </row>
    <row r="122" spans="1:7" ht="15" outlineLevel="1" x14ac:dyDescent="0.35">
      <c r="A122" s="675" t="s">
        <v>210</v>
      </c>
      <c r="B122" s="676"/>
      <c r="C122" s="68">
        <v>0.63570000000000004</v>
      </c>
      <c r="D122" s="58">
        <f>C122*D121</f>
        <v>1027.54</v>
      </c>
      <c r="G122" s="166"/>
    </row>
    <row r="123" spans="1:7" ht="15" outlineLevel="1" x14ac:dyDescent="0.35">
      <c r="A123" s="675" t="s">
        <v>211</v>
      </c>
      <c r="B123" s="676"/>
      <c r="C123" s="68">
        <v>1.0999999999999999E-2</v>
      </c>
      <c r="D123" s="58">
        <f>(D50+(D116/2))*-C123</f>
        <v>-1.54</v>
      </c>
      <c r="G123" s="166"/>
    </row>
    <row r="124" spans="1:7" ht="15" outlineLevel="1" x14ac:dyDescent="0.35">
      <c r="A124" s="677" t="s">
        <v>212</v>
      </c>
      <c r="B124" s="678"/>
      <c r="C124" s="72">
        <f>1/C12</f>
        <v>0.05</v>
      </c>
      <c r="D124" s="59">
        <f>(D122+D123)*C124</f>
        <v>51.3</v>
      </c>
      <c r="G124" s="166"/>
    </row>
    <row r="125" spans="1:7" ht="15" outlineLevel="1" x14ac:dyDescent="0.35">
      <c r="A125" s="113" t="s">
        <v>204</v>
      </c>
      <c r="B125" s="31" t="s">
        <v>213</v>
      </c>
      <c r="C125" s="49"/>
      <c r="D125" s="124">
        <f>D116</f>
        <v>58.83</v>
      </c>
      <c r="G125" s="166"/>
    </row>
    <row r="126" spans="1:7" ht="15" x14ac:dyDescent="0.35">
      <c r="A126" s="644" t="s">
        <v>11</v>
      </c>
      <c r="B126" s="645"/>
      <c r="C126" s="30"/>
      <c r="D126" s="136">
        <f>D124+D125</f>
        <v>110.13</v>
      </c>
      <c r="G126" s="166"/>
    </row>
    <row r="127" spans="1:7" ht="15" x14ac:dyDescent="0.35">
      <c r="A127" s="646"/>
      <c r="B127" s="647"/>
      <c r="C127" s="647"/>
      <c r="D127" s="648"/>
      <c r="G127" s="166"/>
    </row>
    <row r="128" spans="1:7" ht="15" x14ac:dyDescent="0.35">
      <c r="A128" s="663" t="s">
        <v>64</v>
      </c>
      <c r="B128" s="664"/>
      <c r="C128" s="664"/>
      <c r="D128" s="665"/>
      <c r="G128" s="166"/>
    </row>
    <row r="129" spans="1:7" ht="15" hidden="1" outlineLevel="1" x14ac:dyDescent="0.35">
      <c r="A129" s="658"/>
      <c r="B129" s="659"/>
      <c r="C129" s="659"/>
      <c r="D129" s="660"/>
      <c r="G129" s="166"/>
    </row>
    <row r="130" spans="1:7" ht="15" hidden="1" outlineLevel="1" x14ac:dyDescent="0.35">
      <c r="A130" s="110" t="s">
        <v>65</v>
      </c>
      <c r="B130" s="117" t="s">
        <v>214</v>
      </c>
      <c r="C130" s="30" t="s">
        <v>44</v>
      </c>
      <c r="D130" s="110" t="s">
        <v>35</v>
      </c>
      <c r="G130" s="166"/>
    </row>
    <row r="131" spans="1:7" ht="15" hidden="1" outlineLevel="2" x14ac:dyDescent="0.35">
      <c r="A131" s="137" t="s">
        <v>36</v>
      </c>
      <c r="B131" s="89" t="s">
        <v>66</v>
      </c>
      <c r="C131" s="50">
        <f>IF(C12&gt;60,5/C12,IF(C12&gt;48,4/C12,IF(C12&gt;36,3/C12,IF(C12&gt;24,2/C12,IF(C12&gt;12,1/C12,0)))))</f>
        <v>0.05</v>
      </c>
      <c r="D131" s="133">
        <f>SUM(D132:D136)</f>
        <v>85.67</v>
      </c>
      <c r="G131" s="166"/>
    </row>
    <row r="132" spans="1:7" ht="15" hidden="1" outlineLevel="3" x14ac:dyDescent="0.35">
      <c r="A132" s="138" t="s">
        <v>215</v>
      </c>
      <c r="B132" s="90" t="s">
        <v>216</v>
      </c>
      <c r="C132" s="139">
        <f>D39</f>
        <v>1325</v>
      </c>
      <c r="D132" s="140">
        <f>$C$131*(D39)-($C$131*(D39)*C137/3)</f>
        <v>66.25</v>
      </c>
      <c r="G132" s="166"/>
    </row>
    <row r="133" spans="1:7" ht="15" hidden="1" outlineLevel="3" x14ac:dyDescent="0.35">
      <c r="A133" s="138" t="s">
        <v>217</v>
      </c>
      <c r="B133" s="90" t="s">
        <v>218</v>
      </c>
      <c r="C133" s="139">
        <f>(D50)</f>
        <v>110.37</v>
      </c>
      <c r="D133" s="140">
        <f>$C$131*C133-($C$131*C133*C137/3)</f>
        <v>5.52</v>
      </c>
      <c r="G133" s="166"/>
    </row>
    <row r="134" spans="1:7" ht="15" hidden="1" outlineLevel="3" x14ac:dyDescent="0.35">
      <c r="A134" s="138" t="s">
        <v>219</v>
      </c>
      <c r="B134" s="90" t="s">
        <v>220</v>
      </c>
      <c r="C134" s="141">
        <f>(D39/12)+(D51*IF(C12&gt;60,((C12-60)*(1/60))+1,IF(C12&gt;48,((C12-48)*(1/48))+1,IF(C12&gt;36,((C12-36)*(1/36))+1,IF(C12&gt;24,((C12-24)*(1/24))+1,IF(C12&gt;12,((C12-12)*(1/12))+1,1))))))</f>
        <v>147.30000000000001</v>
      </c>
      <c r="D134" s="140">
        <f>$C$131*C134-($C$131*C134*C137/3)</f>
        <v>7.37</v>
      </c>
      <c r="G134" s="166"/>
    </row>
    <row r="135" spans="1:7" ht="15" hidden="1" outlineLevel="3" x14ac:dyDescent="0.35">
      <c r="A135" s="138" t="s">
        <v>221</v>
      </c>
      <c r="B135" s="90" t="s">
        <v>222</v>
      </c>
      <c r="C135" s="91">
        <f>C63</f>
        <v>0.36799999999999999</v>
      </c>
      <c r="D135" s="140">
        <f>SUM(D132:D134)*C131</f>
        <v>3.96</v>
      </c>
      <c r="G135" s="166"/>
    </row>
    <row r="136" spans="1:7" ht="15" hidden="1" outlineLevel="3" x14ac:dyDescent="0.35">
      <c r="A136" s="138" t="s">
        <v>223</v>
      </c>
      <c r="B136" s="90" t="s">
        <v>224</v>
      </c>
      <c r="C136" s="141">
        <f>D124</f>
        <v>51.3</v>
      </c>
      <c r="D136" s="140">
        <f>C136*C131</f>
        <v>2.57</v>
      </c>
      <c r="G136" s="166"/>
    </row>
    <row r="137" spans="1:7" ht="15" hidden="1" outlineLevel="2" x14ac:dyDescent="0.35">
      <c r="A137" s="111" t="s">
        <v>16</v>
      </c>
      <c r="B137" s="31" t="s">
        <v>225</v>
      </c>
      <c r="C137" s="92">
        <v>0</v>
      </c>
      <c r="D137" s="124">
        <f>$C$131*(D39)*(C137/3)</f>
        <v>0</v>
      </c>
      <c r="G137" s="166"/>
    </row>
    <row r="138" spans="1:7" ht="15" hidden="1" outlineLevel="1" x14ac:dyDescent="0.35">
      <c r="A138" s="644" t="s">
        <v>226</v>
      </c>
      <c r="B138" s="645"/>
      <c r="C138" s="30">
        <f>C131+(D137/D39)</f>
        <v>0.05</v>
      </c>
      <c r="D138" s="116">
        <f>SUM(D131:D137)</f>
        <v>171.34</v>
      </c>
      <c r="G138" s="166"/>
    </row>
    <row r="139" spans="1:7" ht="15" hidden="1" outlineLevel="1" x14ac:dyDescent="0.35">
      <c r="A139" s="658"/>
      <c r="B139" s="659"/>
      <c r="C139" s="659"/>
      <c r="D139" s="660"/>
      <c r="G139" s="166"/>
    </row>
    <row r="140" spans="1:7" ht="15" hidden="1" outlineLevel="2" x14ac:dyDescent="0.35">
      <c r="A140" s="668" t="s">
        <v>227</v>
      </c>
      <c r="B140" s="142" t="s">
        <v>190</v>
      </c>
      <c r="C140" s="93">
        <v>220</v>
      </c>
      <c r="D140" s="143">
        <f>D39</f>
        <v>1325</v>
      </c>
      <c r="G140" s="166"/>
    </row>
    <row r="141" spans="1:7" ht="15" hidden="1" outlineLevel="2" x14ac:dyDescent="0.35">
      <c r="A141" s="669"/>
      <c r="B141" s="142" t="s">
        <v>228</v>
      </c>
      <c r="C141" s="50">
        <f>(1+(1/3)+1)/12</f>
        <v>0.19439999999999999</v>
      </c>
      <c r="D141" s="144">
        <f>D140*C141</f>
        <v>257.58</v>
      </c>
      <c r="G141" s="166"/>
    </row>
    <row r="142" spans="1:7" ht="15" hidden="1" outlineLevel="2" x14ac:dyDescent="0.35">
      <c r="A142" s="669"/>
      <c r="B142" s="142" t="s">
        <v>229</v>
      </c>
      <c r="C142" s="50">
        <f>C63</f>
        <v>0.36799999999999999</v>
      </c>
      <c r="D142" s="144">
        <f>(D140+D141)*C142</f>
        <v>582.39</v>
      </c>
      <c r="G142" s="166"/>
    </row>
    <row r="143" spans="1:7" ht="15" hidden="1" outlineLevel="2" x14ac:dyDescent="0.35">
      <c r="A143" s="669"/>
      <c r="B143" s="142" t="s">
        <v>230</v>
      </c>
      <c r="C143" s="50">
        <f>D143/D140</f>
        <v>0.38850000000000001</v>
      </c>
      <c r="D143" s="144">
        <f>D77</f>
        <v>514.79999999999995</v>
      </c>
      <c r="G143" s="166"/>
    </row>
    <row r="144" spans="1:7" ht="15" hidden="1" outlineLevel="2" x14ac:dyDescent="0.35">
      <c r="A144" s="670"/>
      <c r="B144" s="145" t="s">
        <v>231</v>
      </c>
      <c r="C144" s="50">
        <f>D144/D140</f>
        <v>3.8699999999999998E-2</v>
      </c>
      <c r="D144" s="144">
        <f>D124</f>
        <v>51.3</v>
      </c>
      <c r="G144" s="166"/>
    </row>
    <row r="145" spans="1:7" ht="15" hidden="1" outlineLevel="2" x14ac:dyDescent="0.35">
      <c r="A145" s="671" t="s">
        <v>232</v>
      </c>
      <c r="B145" s="672"/>
      <c r="C145" s="94">
        <f>D145/D140</f>
        <v>2.0611999999999999</v>
      </c>
      <c r="D145" s="146">
        <f>SUM(D140:D144)</f>
        <v>2731.07</v>
      </c>
      <c r="G145" s="166"/>
    </row>
    <row r="146" spans="1:7" ht="15" hidden="1" outlineLevel="2" x14ac:dyDescent="0.35">
      <c r="A146" s="673"/>
      <c r="B146" s="673"/>
      <c r="C146" s="673"/>
      <c r="D146" s="674"/>
      <c r="G146" s="166"/>
    </row>
    <row r="147" spans="1:7" ht="15" hidden="1" outlineLevel="1" x14ac:dyDescent="0.35">
      <c r="A147" s="110" t="s">
        <v>233</v>
      </c>
      <c r="B147" s="117" t="s">
        <v>234</v>
      </c>
      <c r="C147" s="30" t="s">
        <v>44</v>
      </c>
      <c r="D147" s="110" t="s">
        <v>35</v>
      </c>
      <c r="G147" s="166"/>
    </row>
    <row r="148" spans="1:7" ht="15" hidden="1" outlineLevel="2" x14ac:dyDescent="0.35">
      <c r="A148" s="111" t="s">
        <v>16</v>
      </c>
      <c r="B148" s="31" t="s">
        <v>118</v>
      </c>
      <c r="C148" s="77">
        <f>5/252</f>
        <v>1.9800000000000002E-2</v>
      </c>
      <c r="D148" s="133">
        <f>C148*$D$145</f>
        <v>54.08</v>
      </c>
      <c r="G148" s="166"/>
    </row>
    <row r="149" spans="1:7" ht="15" hidden="1" outlineLevel="2" x14ac:dyDescent="0.35">
      <c r="A149" s="111" t="s">
        <v>17</v>
      </c>
      <c r="B149" s="31" t="s">
        <v>119</v>
      </c>
      <c r="C149" s="77">
        <f>1.383/252</f>
        <v>5.4999999999999997E-3</v>
      </c>
      <c r="D149" s="133">
        <f>C149*$D$145</f>
        <v>15.02</v>
      </c>
      <c r="G149" s="166"/>
    </row>
    <row r="150" spans="1:7" ht="15" hidden="1" outlineLevel="2" x14ac:dyDescent="0.35">
      <c r="A150" s="111" t="s">
        <v>19</v>
      </c>
      <c r="B150" s="31" t="s">
        <v>117</v>
      </c>
      <c r="C150" s="77">
        <f>1.3892/252</f>
        <v>5.4999999999999997E-3</v>
      </c>
      <c r="D150" s="133">
        <f t="shared" ref="D150:D153" si="1">C150*$D$145</f>
        <v>15.02</v>
      </c>
      <c r="G150" s="166"/>
    </row>
    <row r="151" spans="1:7" ht="15" hidden="1" outlineLevel="2" x14ac:dyDescent="0.35">
      <c r="A151" s="111" t="s">
        <v>22</v>
      </c>
      <c r="B151" s="31" t="s">
        <v>67</v>
      </c>
      <c r="C151" s="77">
        <f>0.65/252</f>
        <v>2.5999999999999999E-3</v>
      </c>
      <c r="D151" s="133">
        <f t="shared" si="1"/>
        <v>7.1</v>
      </c>
      <c r="G151" s="166"/>
    </row>
    <row r="152" spans="1:7" ht="15" hidden="1" outlineLevel="2" x14ac:dyDescent="0.35">
      <c r="A152" s="111" t="s">
        <v>24</v>
      </c>
      <c r="B152" s="31" t="s">
        <v>68</v>
      </c>
      <c r="C152" s="77">
        <f>0.5052/252</f>
        <v>2E-3</v>
      </c>
      <c r="D152" s="133">
        <f t="shared" si="1"/>
        <v>5.46</v>
      </c>
      <c r="G152" s="166"/>
    </row>
    <row r="153" spans="1:7" ht="15" hidden="1" outlineLevel="2" x14ac:dyDescent="0.35">
      <c r="A153" s="111" t="s">
        <v>36</v>
      </c>
      <c r="B153" s="61" t="s">
        <v>235</v>
      </c>
      <c r="C153" s="69">
        <f>0.2/252</f>
        <v>8.0000000000000004E-4</v>
      </c>
      <c r="D153" s="133">
        <f t="shared" si="1"/>
        <v>2.1800000000000002</v>
      </c>
      <c r="G153" s="166"/>
    </row>
    <row r="154" spans="1:7" ht="15" hidden="1" outlineLevel="1" x14ac:dyDescent="0.35">
      <c r="A154" s="644" t="s">
        <v>226</v>
      </c>
      <c r="B154" s="645"/>
      <c r="C154" s="30">
        <f>SUM(C148:C153)</f>
        <v>3.6200000000000003E-2</v>
      </c>
      <c r="D154" s="116">
        <f>SUM(D148:D153)</f>
        <v>98.86</v>
      </c>
      <c r="G154" s="166"/>
    </row>
    <row r="155" spans="1:7" ht="15" hidden="1" outlineLevel="1" x14ac:dyDescent="0.35">
      <c r="A155" s="658"/>
      <c r="B155" s="659"/>
      <c r="C155" s="659"/>
      <c r="D155" s="660"/>
      <c r="G155" s="166"/>
    </row>
    <row r="156" spans="1:7" ht="15" hidden="1" outlineLevel="1" x14ac:dyDescent="0.35">
      <c r="A156" s="661" t="s">
        <v>236</v>
      </c>
      <c r="B156" s="666"/>
      <c r="C156" s="30" t="s">
        <v>237</v>
      </c>
      <c r="D156" s="110" t="s">
        <v>35</v>
      </c>
      <c r="G156" s="166"/>
    </row>
    <row r="157" spans="1:7" ht="15" hidden="1" outlineLevel="2" x14ac:dyDescent="0.4">
      <c r="A157" s="667" t="s">
        <v>238</v>
      </c>
      <c r="B157" s="142" t="s">
        <v>239</v>
      </c>
      <c r="C157" s="95">
        <f>C153</f>
        <v>8.0000000000000004E-4</v>
      </c>
      <c r="D157" s="147">
        <f>C157*-D140</f>
        <v>-1.06</v>
      </c>
      <c r="G157" s="166"/>
    </row>
    <row r="158" spans="1:7" ht="15" hidden="1" outlineLevel="2" x14ac:dyDescent="0.4">
      <c r="A158" s="667"/>
      <c r="B158" s="148" t="s">
        <v>240</v>
      </c>
      <c r="C158" s="96">
        <v>0</v>
      </c>
      <c r="D158" s="149">
        <f>C158*-(D140/220/24*5)</f>
        <v>0</v>
      </c>
      <c r="G158" s="166"/>
    </row>
    <row r="159" spans="1:7" ht="15" hidden="1" outlineLevel="2" x14ac:dyDescent="0.4">
      <c r="A159" s="667"/>
      <c r="B159" s="148" t="s">
        <v>241</v>
      </c>
      <c r="C159" s="96">
        <v>0</v>
      </c>
      <c r="D159" s="149">
        <f>C159*-D141</f>
        <v>0</v>
      </c>
      <c r="G159" s="166"/>
    </row>
    <row r="160" spans="1:7" ht="15" hidden="1" outlineLevel="2" x14ac:dyDescent="0.4">
      <c r="A160" s="667"/>
      <c r="B160" s="142" t="s">
        <v>242</v>
      </c>
      <c r="C160" s="95">
        <f>C154</f>
        <v>3.6200000000000003E-2</v>
      </c>
      <c r="D160" s="147">
        <f>C160*-D66</f>
        <v>-4.13</v>
      </c>
      <c r="G160" s="166"/>
    </row>
    <row r="161" spans="1:7" ht="15" hidden="1" outlineLevel="2" x14ac:dyDescent="0.4">
      <c r="A161" s="667"/>
      <c r="B161" s="142" t="s">
        <v>243</v>
      </c>
      <c r="C161" s="95">
        <f>C154</f>
        <v>3.6200000000000003E-2</v>
      </c>
      <c r="D161" s="147">
        <f>C161*-D69</f>
        <v>-10.5</v>
      </c>
      <c r="G161" s="166"/>
    </row>
    <row r="162" spans="1:7" ht="15" hidden="1" outlineLevel="2" x14ac:dyDescent="0.4">
      <c r="A162" s="667"/>
      <c r="B162" s="145" t="s">
        <v>244</v>
      </c>
      <c r="C162" s="95">
        <f>C153</f>
        <v>8.0000000000000004E-4</v>
      </c>
      <c r="D162" s="147">
        <f>C162*-D74</f>
        <v>0</v>
      </c>
      <c r="G162" s="166"/>
    </row>
    <row r="163" spans="1:7" ht="15" hidden="1" outlineLevel="2" x14ac:dyDescent="0.35">
      <c r="A163" s="667"/>
      <c r="B163" s="145" t="s">
        <v>245</v>
      </c>
      <c r="C163" s="97">
        <f>C152</f>
        <v>2E-3</v>
      </c>
      <c r="D163" s="133">
        <f>C163*-SUM(D55:D61)</f>
        <v>-0.84</v>
      </c>
      <c r="G163" s="166"/>
    </row>
    <row r="164" spans="1:7" ht="15" hidden="1" outlineLevel="2" x14ac:dyDescent="0.4">
      <c r="A164" s="667"/>
      <c r="B164" s="142" t="s">
        <v>246</v>
      </c>
      <c r="C164" s="95">
        <f>C153</f>
        <v>8.0000000000000004E-4</v>
      </c>
      <c r="D164" s="147">
        <f>C164*-D142</f>
        <v>-0.47</v>
      </c>
      <c r="G164" s="166"/>
    </row>
    <row r="165" spans="1:7" ht="15" hidden="1" outlineLevel="1" x14ac:dyDescent="0.35">
      <c r="A165" s="644" t="s">
        <v>247</v>
      </c>
      <c r="B165" s="645"/>
      <c r="C165" s="30">
        <f>D165/D140</f>
        <v>-1.2800000000000001E-2</v>
      </c>
      <c r="D165" s="116">
        <f>SUM(D157:D164)</f>
        <v>-17</v>
      </c>
      <c r="G165" s="166"/>
    </row>
    <row r="166" spans="1:7" ht="15" hidden="1" outlineLevel="1" x14ac:dyDescent="0.35">
      <c r="A166" s="658"/>
      <c r="B166" s="659"/>
      <c r="C166" s="659"/>
      <c r="D166" s="660"/>
      <c r="G166" s="166"/>
    </row>
    <row r="167" spans="1:7" ht="15" hidden="1" outlineLevel="1" x14ac:dyDescent="0.35">
      <c r="A167" s="644" t="s">
        <v>248</v>
      </c>
      <c r="B167" s="645"/>
      <c r="C167" s="30">
        <f>D167/D140</f>
        <v>6.1800000000000001E-2</v>
      </c>
      <c r="D167" s="116">
        <f>D154+D165</f>
        <v>81.86</v>
      </c>
      <c r="G167" s="166"/>
    </row>
    <row r="168" spans="1:7" ht="15" hidden="1" outlineLevel="1" x14ac:dyDescent="0.35">
      <c r="A168" s="658"/>
      <c r="B168" s="659"/>
      <c r="C168" s="659"/>
      <c r="D168" s="660"/>
      <c r="G168" s="166"/>
    </row>
    <row r="169" spans="1:7" ht="15" hidden="1" outlineLevel="1" x14ac:dyDescent="0.35">
      <c r="A169" s="661" t="s">
        <v>249</v>
      </c>
      <c r="B169" s="662"/>
      <c r="C169" s="110" t="s">
        <v>44</v>
      </c>
      <c r="D169" s="110" t="s">
        <v>35</v>
      </c>
      <c r="G169" s="166"/>
    </row>
    <row r="170" spans="1:7" ht="15" hidden="1" outlineLevel="1" x14ac:dyDescent="0.35">
      <c r="A170" s="111" t="s">
        <v>65</v>
      </c>
      <c r="B170" s="31" t="s">
        <v>214</v>
      </c>
      <c r="C170" s="34"/>
      <c r="D170" s="150">
        <f>D138</f>
        <v>171.34</v>
      </c>
      <c r="G170" s="166"/>
    </row>
    <row r="171" spans="1:7" ht="15" hidden="1" outlineLevel="1" x14ac:dyDescent="0.35">
      <c r="A171" s="111" t="s">
        <v>233</v>
      </c>
      <c r="B171" s="31" t="s">
        <v>234</v>
      </c>
      <c r="C171" s="34"/>
      <c r="D171" s="150">
        <f>D167</f>
        <v>81.86</v>
      </c>
      <c r="G171" s="166"/>
    </row>
    <row r="172" spans="1:7" ht="15" collapsed="1" x14ac:dyDescent="0.35">
      <c r="A172" s="644" t="s">
        <v>11</v>
      </c>
      <c r="B172" s="657"/>
      <c r="C172" s="645"/>
      <c r="D172" s="119">
        <f>SUM(D170:D171)</f>
        <v>253.2</v>
      </c>
      <c r="G172" s="166"/>
    </row>
    <row r="173" spans="1:7" ht="15" x14ac:dyDescent="0.35">
      <c r="A173" s="658"/>
      <c r="B173" s="659"/>
      <c r="C173" s="659"/>
      <c r="D173" s="660"/>
      <c r="G173" s="166"/>
    </row>
    <row r="174" spans="1:7" ht="15" x14ac:dyDescent="0.35">
      <c r="A174" s="663" t="s">
        <v>69</v>
      </c>
      <c r="B174" s="664"/>
      <c r="C174" s="664"/>
      <c r="D174" s="665"/>
      <c r="G174" s="166"/>
    </row>
    <row r="175" spans="1:7" ht="15" outlineLevel="1" x14ac:dyDescent="0.35">
      <c r="A175" s="658"/>
      <c r="B175" s="659"/>
      <c r="C175" s="659"/>
      <c r="D175" s="660"/>
      <c r="G175" s="166"/>
    </row>
    <row r="176" spans="1:7" ht="15" outlineLevel="1" x14ac:dyDescent="0.35">
      <c r="A176" s="64">
        <v>5</v>
      </c>
      <c r="B176" s="644" t="s">
        <v>250</v>
      </c>
      <c r="C176" s="645"/>
      <c r="D176" s="110" t="s">
        <v>35</v>
      </c>
      <c r="G176" s="166"/>
    </row>
    <row r="177" spans="1:7" ht="15" outlineLevel="1" x14ac:dyDescent="0.35">
      <c r="A177" s="111" t="s">
        <v>36</v>
      </c>
      <c r="B177" s="655" t="s">
        <v>343</v>
      </c>
      <c r="C177" s="656"/>
      <c r="D177" s="133">
        <f>INSUMOS!H12</f>
        <v>25.07</v>
      </c>
      <c r="G177" s="166"/>
    </row>
    <row r="178" spans="1:7" ht="15" outlineLevel="1" x14ac:dyDescent="0.35">
      <c r="A178" s="111" t="s">
        <v>16</v>
      </c>
      <c r="B178" s="655" t="s">
        <v>369</v>
      </c>
      <c r="C178" s="656"/>
      <c r="D178" s="151">
        <f>INSUMOS!H29</f>
        <v>11.34</v>
      </c>
      <c r="G178" s="166"/>
    </row>
    <row r="179" spans="1:7" ht="15" outlineLevel="1" x14ac:dyDescent="0.35">
      <c r="A179" s="111" t="s">
        <v>17</v>
      </c>
      <c r="B179" s="640" t="s">
        <v>326</v>
      </c>
      <c r="C179" s="642"/>
      <c r="D179" s="151">
        <f>MATERIAIS!F125</f>
        <v>611.75</v>
      </c>
      <c r="G179" s="166"/>
    </row>
    <row r="180" spans="1:7" ht="15" outlineLevel="1" x14ac:dyDescent="0.35">
      <c r="A180" s="111" t="s">
        <v>19</v>
      </c>
      <c r="B180" s="640" t="s">
        <v>325</v>
      </c>
      <c r="C180" s="642"/>
      <c r="D180" s="151">
        <f>EQUIPAMENTOS!G134</f>
        <v>52.07</v>
      </c>
      <c r="G180" s="166"/>
    </row>
    <row r="181" spans="1:7" ht="15" outlineLevel="1" x14ac:dyDescent="0.35">
      <c r="A181" s="111" t="s">
        <v>24</v>
      </c>
      <c r="B181" s="705" t="s">
        <v>39</v>
      </c>
      <c r="C181" s="706"/>
      <c r="D181" s="130">
        <v>0</v>
      </c>
      <c r="G181" s="166"/>
    </row>
    <row r="182" spans="1:7" ht="15" x14ac:dyDescent="0.35">
      <c r="A182" s="644" t="s">
        <v>11</v>
      </c>
      <c r="B182" s="657"/>
      <c r="C182" s="645"/>
      <c r="D182" s="116">
        <f>SUM(D177:D180)</f>
        <v>700.23</v>
      </c>
      <c r="G182" s="166"/>
    </row>
    <row r="183" spans="1:7" ht="15" x14ac:dyDescent="0.35">
      <c r="A183" s="646"/>
      <c r="B183" s="647"/>
      <c r="C183" s="647"/>
      <c r="D183" s="648"/>
      <c r="G183" s="166"/>
    </row>
    <row r="184" spans="1:7" ht="15" x14ac:dyDescent="0.35">
      <c r="A184" s="649" t="s">
        <v>70</v>
      </c>
      <c r="B184" s="649"/>
      <c r="C184" s="649"/>
      <c r="D184" s="152">
        <f>D39+D83+D126+D172+D182</f>
        <v>3572.24</v>
      </c>
      <c r="G184" s="166"/>
    </row>
    <row r="185" spans="1:7" ht="15" x14ac:dyDescent="0.35">
      <c r="A185" s="650"/>
      <c r="B185" s="650"/>
      <c r="C185" s="650"/>
      <c r="D185" s="650"/>
      <c r="G185" s="166"/>
    </row>
    <row r="186" spans="1:7" ht="15" x14ac:dyDescent="0.35">
      <c r="A186" s="651" t="s">
        <v>71</v>
      </c>
      <c r="B186" s="651"/>
      <c r="C186" s="651"/>
      <c r="D186" s="651"/>
      <c r="G186" s="166"/>
    </row>
    <row r="187" spans="1:7" ht="15" outlineLevel="1" x14ac:dyDescent="0.35">
      <c r="A187" s="652"/>
      <c r="B187" s="653"/>
      <c r="C187" s="653"/>
      <c r="D187" s="654"/>
      <c r="G187" s="166"/>
    </row>
    <row r="188" spans="1:7" ht="15" outlineLevel="1" x14ac:dyDescent="0.35">
      <c r="A188" s="64">
        <v>6</v>
      </c>
      <c r="B188" s="117" t="s">
        <v>72</v>
      </c>
      <c r="C188" s="110" t="s">
        <v>44</v>
      </c>
      <c r="D188" s="110" t="s">
        <v>35</v>
      </c>
      <c r="G188" s="166"/>
    </row>
    <row r="189" spans="1:7" ht="15" outlineLevel="1" x14ac:dyDescent="0.35">
      <c r="A189" s="111" t="s">
        <v>36</v>
      </c>
      <c r="B189" s="31" t="s">
        <v>73</v>
      </c>
      <c r="C189" s="70">
        <v>2.6499999999999999E-2</v>
      </c>
      <c r="D189" s="105">
        <f>C189*D184</f>
        <v>94.66</v>
      </c>
      <c r="G189" s="166"/>
    </row>
    <row r="190" spans="1:7" ht="15" outlineLevel="1" x14ac:dyDescent="0.35">
      <c r="A190" s="638" t="s">
        <v>1</v>
      </c>
      <c r="B190" s="639"/>
      <c r="C190" s="643"/>
      <c r="D190" s="105">
        <f>D184+D189</f>
        <v>3666.9</v>
      </c>
      <c r="G190" s="166"/>
    </row>
    <row r="191" spans="1:7" ht="15" outlineLevel="1" x14ac:dyDescent="0.35">
      <c r="A191" s="111" t="s">
        <v>16</v>
      </c>
      <c r="B191" s="31" t="s">
        <v>74</v>
      </c>
      <c r="C191" s="70">
        <v>0.1087</v>
      </c>
      <c r="D191" s="105">
        <f>C191*D190</f>
        <v>398.59</v>
      </c>
      <c r="G191" s="166"/>
    </row>
    <row r="192" spans="1:7" ht="15" outlineLevel="1" x14ac:dyDescent="0.35">
      <c r="A192" s="638" t="s">
        <v>1</v>
      </c>
      <c r="B192" s="639"/>
      <c r="C192" s="639"/>
      <c r="D192" s="105">
        <f>D191+D190</f>
        <v>4065.49</v>
      </c>
      <c r="G192" s="166"/>
    </row>
    <row r="193" spans="1:11" ht="15" outlineLevel="1" x14ac:dyDescent="0.35">
      <c r="A193" s="111" t="s">
        <v>17</v>
      </c>
      <c r="B193" s="640" t="s">
        <v>75</v>
      </c>
      <c r="C193" s="641"/>
      <c r="D193" s="642"/>
      <c r="G193" s="166"/>
    </row>
    <row r="194" spans="1:11" ht="15" outlineLevel="1" x14ac:dyDescent="0.35">
      <c r="A194" s="153"/>
      <c r="B194" s="63" t="s">
        <v>76</v>
      </c>
      <c r="C194" s="70">
        <v>6.4999999999999997E-3</v>
      </c>
      <c r="D194" s="105">
        <f>(D192/(1-C197)*C194)</f>
        <v>28.16</v>
      </c>
      <c r="G194" s="166"/>
    </row>
    <row r="195" spans="1:11" ht="15" outlineLevel="1" x14ac:dyDescent="0.35">
      <c r="A195" s="153"/>
      <c r="B195" s="63" t="s">
        <v>77</v>
      </c>
      <c r="C195" s="70">
        <v>0.03</v>
      </c>
      <c r="D195" s="105">
        <f>(D192/(1-C197)*C195)</f>
        <v>129.96</v>
      </c>
      <c r="G195" s="166"/>
    </row>
    <row r="196" spans="1:11" ht="15" outlineLevel="1" x14ac:dyDescent="0.35">
      <c r="A196" s="153"/>
      <c r="B196" s="63" t="s">
        <v>377</v>
      </c>
      <c r="C196" s="51">
        <v>2.5000000000000001E-2</v>
      </c>
      <c r="D196" s="105">
        <f>(D192/(1-C197)*C196)</f>
        <v>108.3</v>
      </c>
      <c r="G196" s="166"/>
    </row>
    <row r="197" spans="1:11" ht="15" outlineLevel="1" x14ac:dyDescent="0.35">
      <c r="A197" s="638" t="s">
        <v>78</v>
      </c>
      <c r="B197" s="643"/>
      <c r="C197" s="52">
        <f>SUM(C194:C196)</f>
        <v>6.1499999999999999E-2</v>
      </c>
      <c r="D197" s="105">
        <f>SUM(D194:D196)</f>
        <v>266.42</v>
      </c>
      <c r="G197" s="166"/>
    </row>
    <row r="198" spans="1:11" ht="15" x14ac:dyDescent="0.35">
      <c r="A198" s="644" t="s">
        <v>11</v>
      </c>
      <c r="B198" s="645"/>
      <c r="C198" s="53">
        <f>(1+C189)*(1+C191)*(1/(1-C197))-1</f>
        <v>0.2127</v>
      </c>
      <c r="D198" s="108">
        <f>SUM(D197+D189+D191)</f>
        <v>759.67</v>
      </c>
      <c r="G198" s="166"/>
    </row>
    <row r="199" spans="1:11" ht="15" x14ac:dyDescent="0.35">
      <c r="A199" s="646"/>
      <c r="B199" s="647"/>
      <c r="C199" s="647"/>
      <c r="D199" s="648"/>
      <c r="G199" s="166"/>
      <c r="K199" s="166"/>
    </row>
    <row r="200" spans="1:11" ht="15" x14ac:dyDescent="0.35">
      <c r="A200" s="634" t="s">
        <v>79</v>
      </c>
      <c r="B200" s="635"/>
      <c r="C200" s="636"/>
      <c r="D200" s="54" t="s">
        <v>35</v>
      </c>
      <c r="G200" s="166"/>
    </row>
    <row r="201" spans="1:11" ht="15" x14ac:dyDescent="0.35">
      <c r="A201" s="632" t="s">
        <v>80</v>
      </c>
      <c r="B201" s="637"/>
      <c r="C201" s="637"/>
      <c r="D201" s="633"/>
      <c r="G201" s="167"/>
    </row>
    <row r="202" spans="1:11" ht="15" x14ac:dyDescent="0.35">
      <c r="A202" s="65" t="s">
        <v>36</v>
      </c>
      <c r="B202" s="632" t="s">
        <v>81</v>
      </c>
      <c r="C202" s="633"/>
      <c r="D202" s="104">
        <f>D39</f>
        <v>1325</v>
      </c>
      <c r="G202" s="166"/>
      <c r="K202" s="166"/>
    </row>
    <row r="203" spans="1:11" ht="15" x14ac:dyDescent="0.35">
      <c r="A203" s="65" t="s">
        <v>16</v>
      </c>
      <c r="B203" s="632" t="s">
        <v>82</v>
      </c>
      <c r="C203" s="633"/>
      <c r="D203" s="104">
        <f>D83</f>
        <v>1183.68</v>
      </c>
      <c r="G203" s="166"/>
      <c r="K203" s="166"/>
    </row>
    <row r="204" spans="1:11" ht="15" x14ac:dyDescent="0.35">
      <c r="A204" s="65" t="s">
        <v>17</v>
      </c>
      <c r="B204" s="632" t="s">
        <v>83</v>
      </c>
      <c r="C204" s="633"/>
      <c r="D204" s="104">
        <f>D126</f>
        <v>110.13</v>
      </c>
      <c r="G204" s="166"/>
      <c r="K204" s="166"/>
    </row>
    <row r="205" spans="1:11" ht="15" x14ac:dyDescent="0.35">
      <c r="A205" s="65" t="s">
        <v>19</v>
      </c>
      <c r="B205" s="632" t="s">
        <v>84</v>
      </c>
      <c r="C205" s="633"/>
      <c r="D205" s="104">
        <f>D172</f>
        <v>253.2</v>
      </c>
      <c r="G205" s="166"/>
      <c r="K205" s="166"/>
    </row>
    <row r="206" spans="1:11" ht="15" x14ac:dyDescent="0.35">
      <c r="A206" s="65" t="s">
        <v>22</v>
      </c>
      <c r="B206" s="632" t="s">
        <v>85</v>
      </c>
      <c r="C206" s="633"/>
      <c r="D206" s="104">
        <f>D182</f>
        <v>700.23</v>
      </c>
      <c r="G206" s="166"/>
      <c r="K206" s="166"/>
    </row>
    <row r="207" spans="1:11" ht="15" x14ac:dyDescent="0.4">
      <c r="A207" s="629" t="s">
        <v>86</v>
      </c>
      <c r="B207" s="630"/>
      <c r="C207" s="631"/>
      <c r="D207" s="104">
        <f>SUM(D202:D206)</f>
        <v>3572.24</v>
      </c>
      <c r="G207" s="166"/>
      <c r="K207" s="166"/>
    </row>
    <row r="208" spans="1:11" ht="15" x14ac:dyDescent="0.35">
      <c r="A208" s="65" t="s">
        <v>87</v>
      </c>
      <c r="B208" s="632" t="s">
        <v>88</v>
      </c>
      <c r="C208" s="633"/>
      <c r="D208" s="104">
        <f>D198</f>
        <v>759.67</v>
      </c>
      <c r="G208" s="166"/>
      <c r="K208" s="166"/>
    </row>
    <row r="209" spans="1:11" ht="15" x14ac:dyDescent="0.35">
      <c r="A209" s="634" t="s">
        <v>89</v>
      </c>
      <c r="B209" s="635"/>
      <c r="C209" s="636"/>
      <c r="D209" s="154">
        <f xml:space="preserve"> D207+D208</f>
        <v>4331.91</v>
      </c>
      <c r="G209" s="166"/>
      <c r="K209" s="166"/>
    </row>
    <row r="210" spans="1:11" ht="15" x14ac:dyDescent="0.4">
      <c r="A210" s="24"/>
      <c r="B210" s="24"/>
      <c r="C210" s="24"/>
      <c r="D210" s="24"/>
    </row>
    <row r="211" spans="1:11" ht="15" thickBot="1" x14ac:dyDescent="0.4">
      <c r="A211" s="17"/>
      <c r="B211" s="17"/>
      <c r="C211" s="17"/>
      <c r="D211" s="17"/>
    </row>
    <row r="212" spans="1:11" ht="15" x14ac:dyDescent="0.35">
      <c r="A212" s="702" t="s">
        <v>274</v>
      </c>
      <c r="B212" s="703"/>
      <c r="C212" s="703"/>
      <c r="D212" s="704"/>
    </row>
    <row r="213" spans="1:11" ht="30" x14ac:dyDescent="0.35">
      <c r="A213" s="170" t="s">
        <v>275</v>
      </c>
      <c r="B213" s="171" t="s">
        <v>278</v>
      </c>
      <c r="C213" s="172" t="s">
        <v>276</v>
      </c>
      <c r="D213" s="173" t="s">
        <v>277</v>
      </c>
    </row>
    <row r="214" spans="1:11" ht="15.5" thickBot="1" x14ac:dyDescent="0.4">
      <c r="A214" s="174">
        <v>5</v>
      </c>
      <c r="B214" s="178">
        <f>IF(A214=0,0,1/((C11)/A214))</f>
        <v>7.7853728419999995E-4</v>
      </c>
      <c r="C214" s="175">
        <f>D209</f>
        <v>4331.91</v>
      </c>
      <c r="D214" s="181">
        <f>C214*B214</f>
        <v>3.372553447</v>
      </c>
    </row>
  </sheetData>
  <mergeCells count="107">
    <mergeCell ref="A212:D212"/>
    <mergeCell ref="B180:C180"/>
    <mergeCell ref="B181:C181"/>
    <mergeCell ref="A5:D5"/>
    <mergeCell ref="C6:D6"/>
    <mergeCell ref="C7:D7"/>
    <mergeCell ref="C8:D8"/>
    <mergeCell ref="C9:D9"/>
    <mergeCell ref="C10:D10"/>
    <mergeCell ref="B21:C21"/>
    <mergeCell ref="B22:C22"/>
    <mergeCell ref="B20:C20"/>
    <mergeCell ref="A45:B45"/>
    <mergeCell ref="A46:D46"/>
    <mergeCell ref="A47:D47"/>
    <mergeCell ref="A48:D48"/>
    <mergeCell ref="A52:B52"/>
    <mergeCell ref="A53:D53"/>
    <mergeCell ref="A23:D23"/>
    <mergeCell ref="A24:D24"/>
    <mergeCell ref="A25:D25"/>
    <mergeCell ref="B26:C26"/>
    <mergeCell ref="A39:C39"/>
    <mergeCell ref="A40:D40"/>
    <mergeCell ref="A1:D1"/>
    <mergeCell ref="A2:B2"/>
    <mergeCell ref="C2:D2"/>
    <mergeCell ref="A3:B3"/>
    <mergeCell ref="C3:D3"/>
    <mergeCell ref="A4:D4"/>
    <mergeCell ref="C17:D17"/>
    <mergeCell ref="A18:D18"/>
    <mergeCell ref="B19:C19"/>
    <mergeCell ref="C11:D11"/>
    <mergeCell ref="C12:D12"/>
    <mergeCell ref="A13:D13"/>
    <mergeCell ref="A14:D14"/>
    <mergeCell ref="A15:D15"/>
    <mergeCell ref="C16:D16"/>
    <mergeCell ref="A84:D84"/>
    <mergeCell ref="A85:D85"/>
    <mergeCell ref="A86:D86"/>
    <mergeCell ref="A99:B99"/>
    <mergeCell ref="A100:D100"/>
    <mergeCell ref="A111:B111"/>
    <mergeCell ref="A63:B63"/>
    <mergeCell ref="A64:D64"/>
    <mergeCell ref="A77:C77"/>
    <mergeCell ref="A78:D78"/>
    <mergeCell ref="A79:B79"/>
    <mergeCell ref="A83:C83"/>
    <mergeCell ref="A123:B123"/>
    <mergeCell ref="A124:B124"/>
    <mergeCell ref="A126:B126"/>
    <mergeCell ref="A127:D127"/>
    <mergeCell ref="A128:D128"/>
    <mergeCell ref="A129:D129"/>
    <mergeCell ref="A112:D112"/>
    <mergeCell ref="A116:B116"/>
    <mergeCell ref="A117:D117"/>
    <mergeCell ref="A118:B118"/>
    <mergeCell ref="A121:C121"/>
    <mergeCell ref="A122:B122"/>
    <mergeCell ref="A155:D155"/>
    <mergeCell ref="A156:B156"/>
    <mergeCell ref="A157:A164"/>
    <mergeCell ref="A165:B165"/>
    <mergeCell ref="A166:D166"/>
    <mergeCell ref="A167:B167"/>
    <mergeCell ref="A138:B138"/>
    <mergeCell ref="A139:D139"/>
    <mergeCell ref="A140:A144"/>
    <mergeCell ref="A145:B145"/>
    <mergeCell ref="A146:D146"/>
    <mergeCell ref="A154:B154"/>
    <mergeCell ref="B176:C176"/>
    <mergeCell ref="B177:C177"/>
    <mergeCell ref="B178:C178"/>
    <mergeCell ref="B179:C179"/>
    <mergeCell ref="A182:C182"/>
    <mergeCell ref="A168:D168"/>
    <mergeCell ref="A169:B169"/>
    <mergeCell ref="A172:C172"/>
    <mergeCell ref="A173:D173"/>
    <mergeCell ref="A174:D174"/>
    <mergeCell ref="A175:D175"/>
    <mergeCell ref="A192:C192"/>
    <mergeCell ref="B193:D193"/>
    <mergeCell ref="A197:B197"/>
    <mergeCell ref="A198:B198"/>
    <mergeCell ref="A199:D199"/>
    <mergeCell ref="A200:C200"/>
    <mergeCell ref="A183:D183"/>
    <mergeCell ref="A184:C184"/>
    <mergeCell ref="A185:D185"/>
    <mergeCell ref="A186:D186"/>
    <mergeCell ref="A187:D187"/>
    <mergeCell ref="A190:C190"/>
    <mergeCell ref="A207:C207"/>
    <mergeCell ref="B208:C208"/>
    <mergeCell ref="A209:C209"/>
    <mergeCell ref="A201:D201"/>
    <mergeCell ref="B202:C202"/>
    <mergeCell ref="B203:C203"/>
    <mergeCell ref="B204:C204"/>
    <mergeCell ref="B205:C205"/>
    <mergeCell ref="B206:C206"/>
  </mergeCells>
  <printOptions horizontalCentered="1" verticalCentered="1"/>
  <pageMargins left="0.98425196850393704" right="0.98425196850393704" top="0.98425196850393704" bottom="0.98425196850393704" header="0.51181102362204722" footer="0.51181102362204722"/>
  <pageSetup paperSize="9" scale="26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0E9B55-4B70-4D3C-A4D1-C573D1E3A953}">
  <sheetPr>
    <pageSetUpPr fitToPage="1"/>
  </sheetPr>
  <dimension ref="A1:K214"/>
  <sheetViews>
    <sheetView view="pageBreakPreview" topLeftCell="A177" zoomScale="85" zoomScaleNormal="85" zoomScaleSheetLayoutView="85" workbookViewId="0">
      <selection activeCell="D67" sqref="D67"/>
    </sheetView>
  </sheetViews>
  <sheetFormatPr defaultColWidth="9.1796875" defaultRowHeight="14.5" outlineLevelRow="3" x14ac:dyDescent="0.35"/>
  <cols>
    <col min="1" max="1" width="16.7265625" customWidth="1"/>
    <col min="2" max="2" width="76.81640625" customWidth="1"/>
    <col min="3" max="3" width="22.81640625" customWidth="1"/>
    <col min="4" max="4" width="23.54296875" customWidth="1"/>
    <col min="7" max="7" width="14.453125" bestFit="1" customWidth="1"/>
    <col min="11" max="11" width="13.453125" bestFit="1" customWidth="1"/>
  </cols>
  <sheetData>
    <row r="1" spans="1:4" ht="15" x14ac:dyDescent="0.35">
      <c r="A1" s="683" t="s">
        <v>6</v>
      </c>
      <c r="B1" s="683"/>
      <c r="C1" s="683"/>
      <c r="D1" s="683"/>
    </row>
    <row r="2" spans="1:4" ht="15" x14ac:dyDescent="0.35">
      <c r="A2" s="684" t="s">
        <v>12</v>
      </c>
      <c r="B2" s="684"/>
      <c r="C2" s="685" t="s">
        <v>519</v>
      </c>
      <c r="D2" s="686"/>
    </row>
    <row r="3" spans="1:4" ht="15" x14ac:dyDescent="0.35">
      <c r="A3" s="684" t="s">
        <v>13</v>
      </c>
      <c r="B3" s="684"/>
      <c r="C3" s="685" t="s">
        <v>270</v>
      </c>
      <c r="D3" s="686"/>
    </row>
    <row r="4" spans="1:4" ht="15" x14ac:dyDescent="0.35">
      <c r="A4" s="687"/>
      <c r="B4" s="687"/>
      <c r="C4" s="687"/>
      <c r="D4" s="687"/>
    </row>
    <row r="5" spans="1:4" ht="15" x14ac:dyDescent="0.35">
      <c r="A5" s="687" t="s">
        <v>14</v>
      </c>
      <c r="B5" s="687"/>
      <c r="C5" s="687"/>
      <c r="D5" s="687"/>
    </row>
    <row r="6" spans="1:4" ht="15" x14ac:dyDescent="0.35">
      <c r="A6" s="65" t="s">
        <v>15</v>
      </c>
      <c r="B6" s="63" t="s">
        <v>5</v>
      </c>
      <c r="C6" s="707" t="s">
        <v>144</v>
      </c>
      <c r="D6" s="708"/>
    </row>
    <row r="7" spans="1:4" ht="15" x14ac:dyDescent="0.35">
      <c r="A7" s="65" t="s">
        <v>16</v>
      </c>
      <c r="B7" s="63" t="s">
        <v>4</v>
      </c>
      <c r="C7" s="690" t="s">
        <v>518</v>
      </c>
      <c r="D7" s="690"/>
    </row>
    <row r="8" spans="1:4" ht="15" x14ac:dyDescent="0.35">
      <c r="A8" s="25" t="s">
        <v>17</v>
      </c>
      <c r="B8" s="26" t="s">
        <v>18</v>
      </c>
      <c r="C8" s="709" t="s">
        <v>521</v>
      </c>
      <c r="D8" s="710"/>
    </row>
    <row r="9" spans="1:4" ht="15" x14ac:dyDescent="0.35">
      <c r="A9" s="65" t="s">
        <v>19</v>
      </c>
      <c r="B9" s="63" t="s">
        <v>20</v>
      </c>
      <c r="C9" s="700" t="s">
        <v>21</v>
      </c>
      <c r="D9" s="701"/>
    </row>
    <row r="10" spans="1:4" ht="15" x14ac:dyDescent="0.35">
      <c r="A10" s="65" t="s">
        <v>22</v>
      </c>
      <c r="B10" s="63" t="s">
        <v>23</v>
      </c>
      <c r="C10" s="700" t="s">
        <v>262</v>
      </c>
      <c r="D10" s="701"/>
    </row>
    <row r="11" spans="1:4" ht="15" x14ac:dyDescent="0.35">
      <c r="A11" s="65" t="s">
        <v>24</v>
      </c>
      <c r="B11" s="63" t="s">
        <v>370</v>
      </c>
      <c r="C11" s="691">
        <v>6422.3</v>
      </c>
      <c r="D11" s="692"/>
    </row>
    <row r="12" spans="1:4" ht="15" x14ac:dyDescent="0.35">
      <c r="A12" s="65" t="s">
        <v>52</v>
      </c>
      <c r="B12" s="63" t="s">
        <v>26</v>
      </c>
      <c r="C12" s="693">
        <f>Resumo!I5</f>
        <v>20</v>
      </c>
      <c r="D12" s="694"/>
    </row>
    <row r="13" spans="1:4" ht="15" x14ac:dyDescent="0.35">
      <c r="A13" s="695"/>
      <c r="B13" s="696"/>
      <c r="C13" s="696"/>
      <c r="D13" s="696"/>
    </row>
    <row r="14" spans="1:4" ht="15" x14ac:dyDescent="0.35">
      <c r="A14" s="697" t="s">
        <v>27</v>
      </c>
      <c r="B14" s="698"/>
      <c r="C14" s="698"/>
      <c r="D14" s="699"/>
    </row>
    <row r="15" spans="1:4" ht="15" x14ac:dyDescent="0.35">
      <c r="A15" s="690" t="s">
        <v>28</v>
      </c>
      <c r="B15" s="690"/>
      <c r="C15" s="690"/>
      <c r="D15" s="690"/>
    </row>
    <row r="16" spans="1:4" ht="15" x14ac:dyDescent="0.35">
      <c r="A16" s="65">
        <v>1</v>
      </c>
      <c r="B16" s="63" t="s">
        <v>29</v>
      </c>
      <c r="C16" s="700" t="s">
        <v>266</v>
      </c>
      <c r="D16" s="701" t="s">
        <v>0</v>
      </c>
    </row>
    <row r="17" spans="1:4" ht="15" x14ac:dyDescent="0.35">
      <c r="A17" s="65">
        <v>2</v>
      </c>
      <c r="B17" s="27" t="s">
        <v>30</v>
      </c>
      <c r="C17" s="688" t="s">
        <v>263</v>
      </c>
      <c r="D17" s="689"/>
    </row>
    <row r="18" spans="1:4" ht="15" x14ac:dyDescent="0.35">
      <c r="A18" s="690" t="s">
        <v>31</v>
      </c>
      <c r="B18" s="690"/>
      <c r="C18" s="690"/>
      <c r="D18" s="690"/>
    </row>
    <row r="19" spans="1:4" ht="15" x14ac:dyDescent="0.4">
      <c r="A19" s="65">
        <v>3</v>
      </c>
      <c r="B19" s="632" t="s">
        <v>3</v>
      </c>
      <c r="C19" s="633"/>
      <c r="D19" s="103">
        <v>1325</v>
      </c>
    </row>
    <row r="20" spans="1:4" ht="15" x14ac:dyDescent="0.4">
      <c r="A20" s="65">
        <v>4</v>
      </c>
      <c r="B20" s="632" t="s">
        <v>252</v>
      </c>
      <c r="C20" s="633"/>
      <c r="D20" s="155">
        <v>220</v>
      </c>
    </row>
    <row r="21" spans="1:4" ht="15" x14ac:dyDescent="0.35">
      <c r="A21" s="65">
        <v>5</v>
      </c>
      <c r="B21" s="632" t="s">
        <v>32</v>
      </c>
      <c r="C21" s="633"/>
      <c r="D21" s="73" t="s">
        <v>267</v>
      </c>
    </row>
    <row r="22" spans="1:4" ht="15" x14ac:dyDescent="0.35">
      <c r="A22" s="65">
        <v>6</v>
      </c>
      <c r="B22" s="632" t="s">
        <v>2</v>
      </c>
      <c r="C22" s="633"/>
      <c r="D22" s="74">
        <v>44562</v>
      </c>
    </row>
    <row r="23" spans="1:4" ht="15" x14ac:dyDescent="0.35">
      <c r="A23" s="700"/>
      <c r="B23" s="711"/>
      <c r="C23" s="711"/>
      <c r="D23" s="701"/>
    </row>
    <row r="24" spans="1:4" ht="15" x14ac:dyDescent="0.35">
      <c r="A24" s="712" t="s">
        <v>33</v>
      </c>
      <c r="B24" s="712"/>
      <c r="C24" s="712"/>
      <c r="D24" s="712"/>
    </row>
    <row r="25" spans="1:4" ht="15" x14ac:dyDescent="0.35">
      <c r="A25" s="713"/>
      <c r="B25" s="714"/>
      <c r="C25" s="714"/>
      <c r="D25" s="694"/>
    </row>
    <row r="26" spans="1:4" ht="15" x14ac:dyDescent="0.35">
      <c r="A26" s="64">
        <v>1</v>
      </c>
      <c r="B26" s="634" t="s">
        <v>34</v>
      </c>
      <c r="C26" s="636"/>
      <c r="D26" s="64" t="s">
        <v>35</v>
      </c>
    </row>
    <row r="27" spans="1:4" ht="15" outlineLevel="1" x14ac:dyDescent="0.35">
      <c r="A27" s="65" t="s">
        <v>36</v>
      </c>
      <c r="B27" s="63" t="s">
        <v>146</v>
      </c>
      <c r="C27" s="71">
        <v>220</v>
      </c>
      <c r="D27" s="104">
        <f>D19/220*C27</f>
        <v>1325</v>
      </c>
    </row>
    <row r="28" spans="1:4" ht="15" outlineLevel="1" x14ac:dyDescent="0.35">
      <c r="A28" s="65" t="s">
        <v>16</v>
      </c>
      <c r="B28" s="63" t="s">
        <v>147</v>
      </c>
      <c r="C28" s="28">
        <v>0</v>
      </c>
      <c r="D28" s="104">
        <f>C28*D27</f>
        <v>0</v>
      </c>
    </row>
    <row r="29" spans="1:4" ht="15" outlineLevel="1" x14ac:dyDescent="0.35">
      <c r="A29" s="65" t="s">
        <v>17</v>
      </c>
      <c r="B29" s="63" t="s">
        <v>38</v>
      </c>
      <c r="C29" s="28">
        <v>0.4</v>
      </c>
      <c r="D29" s="104">
        <v>0</v>
      </c>
    </row>
    <row r="30" spans="1:4" ht="15" outlineLevel="1" x14ac:dyDescent="0.35">
      <c r="A30" s="65" t="s">
        <v>19</v>
      </c>
      <c r="B30" s="63" t="s">
        <v>148</v>
      </c>
      <c r="C30" s="156">
        <v>0</v>
      </c>
      <c r="D30" s="105">
        <f>SUM(D31:D32)</f>
        <v>0</v>
      </c>
    </row>
    <row r="31" spans="1:4" ht="15" outlineLevel="2" x14ac:dyDescent="0.35">
      <c r="A31" s="78" t="s">
        <v>111</v>
      </c>
      <c r="B31" s="63" t="s">
        <v>149</v>
      </c>
      <c r="C31" s="79">
        <v>0.2</v>
      </c>
      <c r="D31" s="105">
        <f>(SUM(D27:D29)/C27)*C31*15*C30</f>
        <v>0</v>
      </c>
    </row>
    <row r="32" spans="1:4" ht="15" outlineLevel="2" x14ac:dyDescent="0.35">
      <c r="A32" s="78" t="s">
        <v>112</v>
      </c>
      <c r="B32" s="63" t="s">
        <v>150</v>
      </c>
      <c r="C32" s="80">
        <f>C30*(60/52.5)/8</f>
        <v>0</v>
      </c>
      <c r="D32" s="105">
        <f>(SUM(D27:D29)/C27)*(C31)*15*C32</f>
        <v>0</v>
      </c>
    </row>
    <row r="33" spans="1:7" ht="15" outlineLevel="1" x14ac:dyDescent="0.35">
      <c r="A33" s="65" t="s">
        <v>22</v>
      </c>
      <c r="B33" s="63" t="s">
        <v>151</v>
      </c>
      <c r="C33" s="28" t="s">
        <v>152</v>
      </c>
      <c r="D33" s="1">
        <f>SUM(D34:D37)</f>
        <v>0</v>
      </c>
    </row>
    <row r="34" spans="1:7" ht="15" outlineLevel="2" x14ac:dyDescent="0.35">
      <c r="A34" s="81" t="s">
        <v>153</v>
      </c>
      <c r="B34" s="82" t="s">
        <v>154</v>
      </c>
      <c r="C34" s="83">
        <v>0</v>
      </c>
      <c r="D34" s="106">
        <f>(SUM($D$27:$D$29)/$C$27)*C34*1.5</f>
        <v>0</v>
      </c>
    </row>
    <row r="35" spans="1:7" ht="15" outlineLevel="2" x14ac:dyDescent="0.35">
      <c r="A35" s="81" t="s">
        <v>155</v>
      </c>
      <c r="B35" s="84" t="s">
        <v>156</v>
      </c>
      <c r="C35" s="85">
        <v>0</v>
      </c>
      <c r="D35" s="106">
        <f>(SUM($D$27:$D$29)/$C$27)*C35*((60/52.5)*1.2*1.5)</f>
        <v>0</v>
      </c>
    </row>
    <row r="36" spans="1:7" ht="15" outlineLevel="2" x14ac:dyDescent="0.35">
      <c r="A36" s="81" t="s">
        <v>157</v>
      </c>
      <c r="B36" s="82" t="s">
        <v>158</v>
      </c>
      <c r="C36" s="86">
        <f>C34*0.1429</f>
        <v>0</v>
      </c>
      <c r="D36" s="106">
        <f>(SUM($D$27:$D$29)/$C$27)*C36*2</f>
        <v>0</v>
      </c>
    </row>
    <row r="37" spans="1:7" ht="15" outlineLevel="2" x14ac:dyDescent="0.35">
      <c r="A37" s="81" t="s">
        <v>159</v>
      </c>
      <c r="B37" s="82" t="s">
        <v>160</v>
      </c>
      <c r="C37" s="86">
        <f>C34*0.1429</f>
        <v>0</v>
      </c>
      <c r="D37" s="106">
        <f>(SUM($D$27:$D$29)/$C$27)*C37*((60/52.5)*1.2*2)</f>
        <v>0</v>
      </c>
    </row>
    <row r="38" spans="1:7" ht="15" outlineLevel="1" x14ac:dyDescent="0.35">
      <c r="A38" s="65" t="s">
        <v>24</v>
      </c>
      <c r="B38" s="55" t="s">
        <v>552</v>
      </c>
      <c r="C38" s="56">
        <v>0</v>
      </c>
      <c r="D38" s="107">
        <v>58.67</v>
      </c>
    </row>
    <row r="39" spans="1:7" ht="15" x14ac:dyDescent="0.35">
      <c r="A39" s="634" t="s">
        <v>40</v>
      </c>
      <c r="B39" s="635"/>
      <c r="C39" s="636"/>
      <c r="D39" s="108">
        <f>SUM(D27:D30,D33,D38)</f>
        <v>1383.67</v>
      </c>
      <c r="G39" s="166"/>
    </row>
    <row r="40" spans="1:7" ht="15" x14ac:dyDescent="0.35">
      <c r="A40" s="650"/>
      <c r="B40" s="650"/>
      <c r="C40" s="650"/>
      <c r="D40" s="650"/>
      <c r="G40" s="166"/>
    </row>
    <row r="41" spans="1:7" ht="15" outlineLevel="1" x14ac:dyDescent="0.35">
      <c r="A41" s="87" t="s">
        <v>161</v>
      </c>
      <c r="B41" s="109" t="s">
        <v>162</v>
      </c>
      <c r="C41" s="110" t="s">
        <v>163</v>
      </c>
      <c r="D41" s="110" t="s">
        <v>35</v>
      </c>
      <c r="G41" s="166"/>
    </row>
    <row r="42" spans="1:7" ht="15" outlineLevel="1" x14ac:dyDescent="0.35">
      <c r="A42" s="111" t="s">
        <v>36</v>
      </c>
      <c r="B42" s="27" t="s">
        <v>164</v>
      </c>
      <c r="C42" s="88">
        <v>0</v>
      </c>
      <c r="D42" s="112">
        <f>(SUM(D27)/$C$27)*C42*1.5</f>
        <v>0</v>
      </c>
      <c r="G42" s="166"/>
    </row>
    <row r="43" spans="1:7" ht="15" outlineLevel="1" x14ac:dyDescent="0.35">
      <c r="A43" s="113" t="s">
        <v>17</v>
      </c>
      <c r="B43" s="114" t="s">
        <v>165</v>
      </c>
      <c r="C43" s="115">
        <v>0</v>
      </c>
      <c r="D43" s="104">
        <f>C43*177</f>
        <v>0</v>
      </c>
      <c r="G43" s="166"/>
    </row>
    <row r="44" spans="1:7" ht="15" outlineLevel="1" x14ac:dyDescent="0.35">
      <c r="A44" s="65" t="s">
        <v>19</v>
      </c>
      <c r="B44" s="55" t="s">
        <v>39</v>
      </c>
      <c r="C44" s="56">
        <v>0</v>
      </c>
      <c r="D44" s="107">
        <v>0</v>
      </c>
      <c r="G44" s="166"/>
    </row>
    <row r="45" spans="1:7" ht="15" x14ac:dyDescent="0.35">
      <c r="A45" s="644" t="s">
        <v>166</v>
      </c>
      <c r="B45" s="645"/>
      <c r="C45" s="30">
        <f>D45/D39</f>
        <v>0</v>
      </c>
      <c r="D45" s="116">
        <f>SUM(D42:D43)</f>
        <v>0</v>
      </c>
      <c r="G45" s="166"/>
    </row>
    <row r="46" spans="1:7" ht="15" x14ac:dyDescent="0.35">
      <c r="A46" s="646"/>
      <c r="B46" s="647"/>
      <c r="C46" s="647"/>
      <c r="D46" s="648"/>
      <c r="G46" s="166"/>
    </row>
    <row r="47" spans="1:7" ht="15" x14ac:dyDescent="0.35">
      <c r="A47" s="663" t="s">
        <v>41</v>
      </c>
      <c r="B47" s="664"/>
      <c r="C47" s="664"/>
      <c r="D47" s="665"/>
      <c r="G47" s="166"/>
    </row>
    <row r="48" spans="1:7" ht="15" outlineLevel="1" x14ac:dyDescent="0.35">
      <c r="A48" s="646"/>
      <c r="B48" s="647"/>
      <c r="C48" s="647"/>
      <c r="D48" s="648"/>
      <c r="G48" s="166"/>
    </row>
    <row r="49" spans="1:7" ht="15" outlineLevel="1" x14ac:dyDescent="0.35">
      <c r="A49" s="110" t="s">
        <v>42</v>
      </c>
      <c r="B49" s="109" t="s">
        <v>43</v>
      </c>
      <c r="C49" s="110" t="s">
        <v>44</v>
      </c>
      <c r="D49" s="110" t="s">
        <v>35</v>
      </c>
      <c r="G49" s="166"/>
    </row>
    <row r="50" spans="1:7" ht="15" outlineLevel="2" x14ac:dyDescent="0.35">
      <c r="A50" s="113" t="s">
        <v>36</v>
      </c>
      <c r="B50" s="114" t="s">
        <v>45</v>
      </c>
      <c r="C50" s="29">
        <f>1/12</f>
        <v>8.3299999999999999E-2</v>
      </c>
      <c r="D50" s="169">
        <f>C50*D39</f>
        <v>115.26</v>
      </c>
      <c r="G50" s="166"/>
    </row>
    <row r="51" spans="1:7" ht="15" outlineLevel="2" x14ac:dyDescent="0.35">
      <c r="A51" s="113" t="s">
        <v>16</v>
      </c>
      <c r="B51" s="114" t="s">
        <v>113</v>
      </c>
      <c r="C51" s="29">
        <f>IF(C12&gt;60,(1/C12/3)*5,IF(C12&gt;48,(1/C12/3)*4,IF(C12&gt;36,(1/C12/3)*3,IF(C12&gt;24,(1/C12/3)*2,IF(C12&gt;12,(1/C12/3)*1,0)))))</f>
        <v>1.67E-2</v>
      </c>
      <c r="D51" s="169">
        <f>C51*D39</f>
        <v>23.11</v>
      </c>
      <c r="G51" s="166"/>
    </row>
    <row r="52" spans="1:7" ht="15" outlineLevel="1" x14ac:dyDescent="0.35">
      <c r="A52" s="644" t="s">
        <v>11</v>
      </c>
      <c r="B52" s="645"/>
      <c r="C52" s="30">
        <f>SUM(C50:C51)</f>
        <v>0.1</v>
      </c>
      <c r="D52" s="116">
        <f>SUM(D50:D51)</f>
        <v>138.37</v>
      </c>
      <c r="G52" s="166"/>
    </row>
    <row r="53" spans="1:7" ht="15" outlineLevel="1" x14ac:dyDescent="0.35">
      <c r="A53" s="646"/>
      <c r="B53" s="647"/>
      <c r="C53" s="647"/>
      <c r="D53" s="648"/>
      <c r="G53" s="166"/>
    </row>
    <row r="54" spans="1:7" ht="15" outlineLevel="1" x14ac:dyDescent="0.35">
      <c r="A54" s="110" t="s">
        <v>46</v>
      </c>
      <c r="B54" s="117" t="s">
        <v>47</v>
      </c>
      <c r="C54" s="110" t="s">
        <v>44</v>
      </c>
      <c r="D54" s="118" t="s">
        <v>35</v>
      </c>
      <c r="G54" s="166"/>
    </row>
    <row r="55" spans="1:7" ht="15" outlineLevel="2" x14ac:dyDescent="0.35">
      <c r="A55" s="111" t="s">
        <v>36</v>
      </c>
      <c r="B55" s="31" t="s">
        <v>48</v>
      </c>
      <c r="C55" s="32">
        <v>0.2</v>
      </c>
      <c r="D55" s="104">
        <f t="shared" ref="D55:D62" si="0">C55*($D$39+$D$52)</f>
        <v>304.41000000000003</v>
      </c>
      <c r="G55" s="166"/>
    </row>
    <row r="56" spans="1:7" ht="15" outlineLevel="2" x14ac:dyDescent="0.35">
      <c r="A56" s="111" t="s">
        <v>16</v>
      </c>
      <c r="B56" s="31" t="s">
        <v>49</v>
      </c>
      <c r="C56" s="32">
        <v>2.5000000000000001E-2</v>
      </c>
      <c r="D56" s="104">
        <f t="shared" si="0"/>
        <v>38.049999999999997</v>
      </c>
      <c r="G56" s="166"/>
    </row>
    <row r="57" spans="1:7" ht="15" outlineLevel="2" x14ac:dyDescent="0.35">
      <c r="A57" s="111" t="s">
        <v>17</v>
      </c>
      <c r="B57" s="31" t="s">
        <v>167</v>
      </c>
      <c r="C57" s="66">
        <v>0.03</v>
      </c>
      <c r="D57" s="104">
        <f t="shared" si="0"/>
        <v>45.66</v>
      </c>
      <c r="G57" s="166"/>
    </row>
    <row r="58" spans="1:7" ht="15" outlineLevel="2" x14ac:dyDescent="0.35">
      <c r="A58" s="111" t="s">
        <v>19</v>
      </c>
      <c r="B58" s="31" t="s">
        <v>168</v>
      </c>
      <c r="C58" s="32">
        <v>1.4999999999999999E-2</v>
      </c>
      <c r="D58" s="104">
        <f t="shared" si="0"/>
        <v>22.83</v>
      </c>
      <c r="G58" s="166"/>
    </row>
    <row r="59" spans="1:7" ht="15" outlineLevel="2" x14ac:dyDescent="0.35">
      <c r="A59" s="111" t="s">
        <v>22</v>
      </c>
      <c r="B59" s="31" t="s">
        <v>169</v>
      </c>
      <c r="C59" s="32">
        <v>0.01</v>
      </c>
      <c r="D59" s="104">
        <f t="shared" si="0"/>
        <v>15.22</v>
      </c>
      <c r="G59" s="166"/>
    </row>
    <row r="60" spans="1:7" ht="15" outlineLevel="2" x14ac:dyDescent="0.35">
      <c r="A60" s="111" t="s">
        <v>24</v>
      </c>
      <c r="B60" s="31" t="s">
        <v>50</v>
      </c>
      <c r="C60" s="32">
        <v>6.0000000000000001E-3</v>
      </c>
      <c r="D60" s="104">
        <f t="shared" si="0"/>
        <v>9.1300000000000008</v>
      </c>
      <c r="G60" s="166"/>
    </row>
    <row r="61" spans="1:7" ht="15" outlineLevel="2" x14ac:dyDescent="0.35">
      <c r="A61" s="111" t="s">
        <v>25</v>
      </c>
      <c r="B61" s="31" t="s">
        <v>51</v>
      </c>
      <c r="C61" s="32">
        <v>2E-3</v>
      </c>
      <c r="D61" s="104">
        <f t="shared" si="0"/>
        <v>3.04</v>
      </c>
      <c r="G61" s="166"/>
    </row>
    <row r="62" spans="1:7" ht="15" outlineLevel="2" x14ac:dyDescent="0.35">
      <c r="A62" s="111" t="s">
        <v>52</v>
      </c>
      <c r="B62" s="31" t="s">
        <v>53</v>
      </c>
      <c r="C62" s="32">
        <v>0.08</v>
      </c>
      <c r="D62" s="104">
        <f t="shared" si="0"/>
        <v>121.76</v>
      </c>
      <c r="G62" s="166"/>
    </row>
    <row r="63" spans="1:7" ht="15" outlineLevel="1" x14ac:dyDescent="0.35">
      <c r="A63" s="644" t="s">
        <v>11</v>
      </c>
      <c r="B63" s="645"/>
      <c r="C63" s="33">
        <f>SUM(C55:C62)</f>
        <v>0.36799999999999999</v>
      </c>
      <c r="D63" s="119">
        <f>SUM(D55:D62)</f>
        <v>560.1</v>
      </c>
      <c r="G63" s="166"/>
    </row>
    <row r="64" spans="1:7" ht="15" outlineLevel="1" x14ac:dyDescent="0.35">
      <c r="A64" s="646"/>
      <c r="B64" s="647"/>
      <c r="C64" s="647"/>
      <c r="D64" s="648"/>
      <c r="G64" s="166"/>
    </row>
    <row r="65" spans="1:7" ht="15" outlineLevel="1" x14ac:dyDescent="0.35">
      <c r="A65" s="110" t="s">
        <v>54</v>
      </c>
      <c r="B65" s="117" t="s">
        <v>55</v>
      </c>
      <c r="C65" s="110" t="s">
        <v>56</v>
      </c>
      <c r="D65" s="110" t="s">
        <v>35</v>
      </c>
      <c r="G65" s="166"/>
    </row>
    <row r="66" spans="1:7" ht="15" outlineLevel="2" x14ac:dyDescent="0.35">
      <c r="A66" s="111" t="s">
        <v>36</v>
      </c>
      <c r="B66" s="31" t="s">
        <v>57</v>
      </c>
      <c r="C66" s="379">
        <v>4.4000000000000004</v>
      </c>
      <c r="D66" s="121">
        <f>IF(D67+D68&gt;0,(D67+D68),0)</f>
        <v>114.1</v>
      </c>
      <c r="G66" s="166"/>
    </row>
    <row r="67" spans="1:7" ht="15" outlineLevel="3" x14ac:dyDescent="0.35">
      <c r="A67" s="122" t="s">
        <v>110</v>
      </c>
      <c r="B67" s="31" t="s">
        <v>170</v>
      </c>
      <c r="C67" s="123">
        <v>22</v>
      </c>
      <c r="D67" s="124">
        <f>C66*C67*2</f>
        <v>193.6</v>
      </c>
      <c r="G67" s="166"/>
    </row>
    <row r="68" spans="1:7" ht="15" outlineLevel="3" x14ac:dyDescent="0.35">
      <c r="A68" s="122" t="s">
        <v>114</v>
      </c>
      <c r="B68" s="31" t="s">
        <v>171</v>
      </c>
      <c r="C68" s="125">
        <v>0.06</v>
      </c>
      <c r="D68" s="124">
        <f>-D27*C68</f>
        <v>-79.5</v>
      </c>
      <c r="G68" s="166"/>
    </row>
    <row r="69" spans="1:7" ht="15" outlineLevel="2" x14ac:dyDescent="0.35">
      <c r="A69" s="111" t="s">
        <v>16</v>
      </c>
      <c r="B69" s="31" t="s">
        <v>58</v>
      </c>
      <c r="C69" s="381">
        <f>290/22</f>
        <v>13.182</v>
      </c>
      <c r="D69" s="121">
        <f>D70+D71</f>
        <v>290</v>
      </c>
      <c r="G69" s="166"/>
    </row>
    <row r="70" spans="1:7" ht="15" outlineLevel="3" x14ac:dyDescent="0.35">
      <c r="A70" s="122" t="s">
        <v>90</v>
      </c>
      <c r="B70" s="31" t="s">
        <v>172</v>
      </c>
      <c r="C70" s="123">
        <v>22</v>
      </c>
      <c r="D70" s="124">
        <f>C69*C70</f>
        <v>290</v>
      </c>
      <c r="G70" s="166"/>
    </row>
    <row r="71" spans="1:7" ht="15" outlineLevel="3" x14ac:dyDescent="0.35">
      <c r="A71" s="122" t="s">
        <v>115</v>
      </c>
      <c r="B71" s="31" t="s">
        <v>91</v>
      </c>
      <c r="C71" s="380">
        <v>0</v>
      </c>
      <c r="D71" s="124">
        <f>D70*C71</f>
        <v>0</v>
      </c>
      <c r="G71" s="166"/>
    </row>
    <row r="72" spans="1:7" ht="15" outlineLevel="2" x14ac:dyDescent="0.35">
      <c r="A72" s="111" t="s">
        <v>17</v>
      </c>
      <c r="B72" s="75" t="s">
        <v>291</v>
      </c>
      <c r="C72" s="378">
        <v>9.6999999999999993</v>
      </c>
      <c r="D72" s="129">
        <f>C72</f>
        <v>9.6999999999999993</v>
      </c>
      <c r="G72" s="166"/>
    </row>
    <row r="73" spans="1:7" ht="15" outlineLevel="2" x14ac:dyDescent="0.35">
      <c r="A73" s="111" t="s">
        <v>19</v>
      </c>
      <c r="B73" s="76" t="s">
        <v>550</v>
      </c>
      <c r="C73" s="378">
        <v>4</v>
      </c>
      <c r="D73" s="129">
        <f>C73</f>
        <v>4</v>
      </c>
      <c r="G73" s="166"/>
    </row>
    <row r="74" spans="1:7" ht="15" outlineLevel="2" x14ac:dyDescent="0.35">
      <c r="A74" s="111" t="s">
        <v>22</v>
      </c>
      <c r="B74" s="75" t="s">
        <v>292</v>
      </c>
      <c r="C74" s="378">
        <v>0</v>
      </c>
      <c r="D74" s="129">
        <f>C74</f>
        <v>0</v>
      </c>
      <c r="G74" s="166"/>
    </row>
    <row r="75" spans="1:7" ht="15" outlineLevel="2" x14ac:dyDescent="0.35">
      <c r="A75" s="111" t="s">
        <v>24</v>
      </c>
      <c r="B75" s="75" t="s">
        <v>551</v>
      </c>
      <c r="C75" s="378">
        <v>97</v>
      </c>
      <c r="D75" s="129">
        <f>C75</f>
        <v>97</v>
      </c>
      <c r="G75" s="166"/>
    </row>
    <row r="76" spans="1:7" ht="15" outlineLevel="2" x14ac:dyDescent="0.35">
      <c r="A76" s="111" t="s">
        <v>25</v>
      </c>
      <c r="B76" s="75" t="s">
        <v>39</v>
      </c>
      <c r="C76" s="378">
        <v>0</v>
      </c>
      <c r="D76" s="130">
        <f>C76</f>
        <v>0</v>
      </c>
      <c r="G76" s="166"/>
    </row>
    <row r="77" spans="1:7" ht="15" outlineLevel="1" x14ac:dyDescent="0.35">
      <c r="A77" s="644" t="s">
        <v>59</v>
      </c>
      <c r="B77" s="657"/>
      <c r="C77" s="645"/>
      <c r="D77" s="116">
        <f>SUM(D66,D69,D72:D76)</f>
        <v>514.79999999999995</v>
      </c>
      <c r="G77" s="166"/>
    </row>
    <row r="78" spans="1:7" ht="15" outlineLevel="1" x14ac:dyDescent="0.35">
      <c r="A78" s="646"/>
      <c r="B78" s="647"/>
      <c r="C78" s="647"/>
      <c r="D78" s="648"/>
      <c r="G78" s="166"/>
    </row>
    <row r="79" spans="1:7" ht="15" outlineLevel="1" x14ac:dyDescent="0.35">
      <c r="A79" s="661" t="s">
        <v>60</v>
      </c>
      <c r="B79" s="662"/>
      <c r="C79" s="110" t="s">
        <v>44</v>
      </c>
      <c r="D79" s="110" t="s">
        <v>35</v>
      </c>
      <c r="G79" s="166"/>
    </row>
    <row r="80" spans="1:7" ht="15" outlineLevel="1" x14ac:dyDescent="0.35">
      <c r="A80" s="111" t="s">
        <v>61</v>
      </c>
      <c r="B80" s="31" t="s">
        <v>43</v>
      </c>
      <c r="C80" s="34">
        <f>C52</f>
        <v>0.1</v>
      </c>
      <c r="D80" s="104">
        <f>D52</f>
        <v>138.37</v>
      </c>
      <c r="G80" s="166"/>
    </row>
    <row r="81" spans="1:7" ht="15" outlineLevel="1" x14ac:dyDescent="0.35">
      <c r="A81" s="111" t="s">
        <v>46</v>
      </c>
      <c r="B81" s="31" t="s">
        <v>47</v>
      </c>
      <c r="C81" s="34">
        <f>C63</f>
        <v>0.36799999999999999</v>
      </c>
      <c r="D81" s="104">
        <f>D63</f>
        <v>560.1</v>
      </c>
      <c r="G81" s="166"/>
    </row>
    <row r="82" spans="1:7" ht="15" outlineLevel="1" x14ac:dyDescent="0.35">
      <c r="A82" s="111" t="s">
        <v>62</v>
      </c>
      <c r="B82" s="31" t="s">
        <v>55</v>
      </c>
      <c r="C82" s="34">
        <f>D77/D39</f>
        <v>0.37209999999999999</v>
      </c>
      <c r="D82" s="104">
        <f>D77</f>
        <v>514.79999999999995</v>
      </c>
      <c r="G82" s="166"/>
    </row>
    <row r="83" spans="1:7" ht="15" x14ac:dyDescent="0.35">
      <c r="A83" s="644" t="s">
        <v>11</v>
      </c>
      <c r="B83" s="657"/>
      <c r="C83" s="645"/>
      <c r="D83" s="116">
        <f>SUM(D80:D82)</f>
        <v>1213.27</v>
      </c>
      <c r="G83" s="166"/>
    </row>
    <row r="84" spans="1:7" ht="15" x14ac:dyDescent="0.35">
      <c r="A84" s="646"/>
      <c r="B84" s="647"/>
      <c r="C84" s="647"/>
      <c r="D84" s="648"/>
      <c r="G84" s="166"/>
    </row>
    <row r="85" spans="1:7" ht="15" x14ac:dyDescent="0.35">
      <c r="A85" s="680" t="s">
        <v>173</v>
      </c>
      <c r="B85" s="681"/>
      <c r="C85" s="681"/>
      <c r="D85" s="682"/>
      <c r="G85" s="166"/>
    </row>
    <row r="86" spans="1:7" ht="15" outlineLevel="1" x14ac:dyDescent="0.35">
      <c r="A86" s="646"/>
      <c r="B86" s="647"/>
      <c r="C86" s="647"/>
      <c r="D86" s="648"/>
      <c r="G86" s="166"/>
    </row>
    <row r="87" spans="1:7" ht="15" outlineLevel="1" x14ac:dyDescent="0.35">
      <c r="A87" s="64" t="s">
        <v>174</v>
      </c>
      <c r="B87" s="109" t="s">
        <v>175</v>
      </c>
      <c r="C87" s="110" t="s">
        <v>44</v>
      </c>
      <c r="D87" s="110" t="s">
        <v>35</v>
      </c>
      <c r="G87" s="166"/>
    </row>
    <row r="88" spans="1:7" ht="15" outlineLevel="2" x14ac:dyDescent="0.35">
      <c r="A88" s="35" t="s">
        <v>36</v>
      </c>
      <c r="B88" s="36" t="s">
        <v>176</v>
      </c>
      <c r="C88" s="35" t="s">
        <v>152</v>
      </c>
      <c r="D88" s="131">
        <f>IF(C99&gt;1,SUM(D89:D92)*2,SUM(D89:D92))</f>
        <v>1949.84</v>
      </c>
      <c r="G88" s="166"/>
    </row>
    <row r="89" spans="1:7" ht="15" outlineLevel="3" x14ac:dyDescent="0.35">
      <c r="A89" s="37" t="s">
        <v>177</v>
      </c>
      <c r="B89" s="38" t="s">
        <v>178</v>
      </c>
      <c r="C89" s="35">
        <f>(IF(C12&gt;60,45,IF(C12&gt;48,42,IF(C12&gt;36,39,IF(C12&gt;24,36,IF(C12&gt;12,33,30)))))/30)</f>
        <v>1.1000000000000001</v>
      </c>
      <c r="D89" s="168">
        <f>D39*C89</f>
        <v>1522.04</v>
      </c>
      <c r="G89" s="166"/>
    </row>
    <row r="90" spans="1:7" ht="15" outlineLevel="3" x14ac:dyDescent="0.35">
      <c r="A90" s="37" t="s">
        <v>179</v>
      </c>
      <c r="B90" s="38" t="s">
        <v>180</v>
      </c>
      <c r="C90" s="29">
        <f>1/12</f>
        <v>8.3299999999999999E-2</v>
      </c>
      <c r="D90" s="131">
        <f>C90*D89</f>
        <v>126.79</v>
      </c>
      <c r="G90" s="166"/>
    </row>
    <row r="91" spans="1:7" ht="15" outlineLevel="3" x14ac:dyDescent="0.35">
      <c r="A91" s="37" t="s">
        <v>181</v>
      </c>
      <c r="B91" s="38" t="s">
        <v>182</v>
      </c>
      <c r="C91" s="29">
        <f>(1/12)+(1/12/3)</f>
        <v>0.1111</v>
      </c>
      <c r="D91" s="132">
        <f>C91*D89</f>
        <v>169.1</v>
      </c>
      <c r="G91" s="166"/>
    </row>
    <row r="92" spans="1:7" ht="15" outlineLevel="3" x14ac:dyDescent="0.35">
      <c r="A92" s="37" t="s">
        <v>183</v>
      </c>
      <c r="B92" s="38" t="s">
        <v>184</v>
      </c>
      <c r="C92" s="39">
        <v>0.08</v>
      </c>
      <c r="D92" s="131">
        <f>SUM(D89:D90)*C92</f>
        <v>131.91</v>
      </c>
      <c r="G92" s="166"/>
    </row>
    <row r="93" spans="1:7" ht="15" outlineLevel="2" x14ac:dyDescent="0.35">
      <c r="A93" s="35" t="s">
        <v>16</v>
      </c>
      <c r="B93" s="36" t="s">
        <v>185</v>
      </c>
      <c r="C93" s="40">
        <v>0.4</v>
      </c>
      <c r="D93" s="131">
        <f>C93*D94</f>
        <v>975.58</v>
      </c>
      <c r="G93" s="166"/>
    </row>
    <row r="94" spans="1:7" ht="15" outlineLevel="3" x14ac:dyDescent="0.35">
      <c r="A94" s="35" t="s">
        <v>186</v>
      </c>
      <c r="B94" s="36" t="s">
        <v>187</v>
      </c>
      <c r="C94" s="40">
        <f>C62</f>
        <v>0.08</v>
      </c>
      <c r="D94" s="131">
        <f>C94*D95</f>
        <v>2438.9499999999998</v>
      </c>
      <c r="G94" s="166"/>
    </row>
    <row r="95" spans="1:7" ht="15" outlineLevel="3" x14ac:dyDescent="0.35">
      <c r="A95" s="35" t="s">
        <v>188</v>
      </c>
      <c r="B95" s="41" t="s">
        <v>116</v>
      </c>
      <c r="C95" s="42" t="s">
        <v>152</v>
      </c>
      <c r="D95" s="132">
        <f>SUM(D96:D98)</f>
        <v>30486.86</v>
      </c>
      <c r="G95" s="166"/>
    </row>
    <row r="96" spans="1:7" ht="15" outlineLevel="3" x14ac:dyDescent="0.35">
      <c r="A96" s="37" t="s">
        <v>189</v>
      </c>
      <c r="B96" s="38" t="s">
        <v>190</v>
      </c>
      <c r="C96" s="43">
        <f>C12-C98</f>
        <v>19</v>
      </c>
      <c r="D96" s="131">
        <f>D39*C96</f>
        <v>26289.73</v>
      </c>
      <c r="G96" s="166"/>
    </row>
    <row r="97" spans="1:7" ht="15" outlineLevel="3" x14ac:dyDescent="0.35">
      <c r="A97" s="37" t="s">
        <v>191</v>
      </c>
      <c r="B97" s="38" t="s">
        <v>192</v>
      </c>
      <c r="C97" s="44">
        <f>C12/12</f>
        <v>1.7</v>
      </c>
      <c r="D97" s="131">
        <f>D39*C97</f>
        <v>2352.2399999999998</v>
      </c>
      <c r="G97" s="166"/>
    </row>
    <row r="98" spans="1:7" ht="15" outlineLevel="3" x14ac:dyDescent="0.35">
      <c r="A98" s="37" t="s">
        <v>193</v>
      </c>
      <c r="B98" s="38" t="s">
        <v>194</v>
      </c>
      <c r="C98" s="42">
        <f>IF(C12&gt;60,5,IF(C12&gt;48,4,IF(C12&gt;36,3,IF(C12&gt;24,2,IF(C12&gt;12,1,0)))))</f>
        <v>1</v>
      </c>
      <c r="D98" s="132">
        <f>D39*C98*1.33333333333333</f>
        <v>1844.89</v>
      </c>
      <c r="G98" s="166"/>
    </row>
    <row r="99" spans="1:7" ht="15" outlineLevel="1" x14ac:dyDescent="0.35">
      <c r="A99" s="644" t="s">
        <v>11</v>
      </c>
      <c r="B99" s="645"/>
      <c r="C99" s="67">
        <v>5.5500000000000001E-2</v>
      </c>
      <c r="D99" s="116">
        <f>IF(C99&gt;1,D88+D93,(D88+D93)*C99)</f>
        <v>162.36000000000001</v>
      </c>
      <c r="G99" s="166"/>
    </row>
    <row r="100" spans="1:7" ht="15" outlineLevel="1" x14ac:dyDescent="0.35">
      <c r="A100" s="658"/>
      <c r="B100" s="659"/>
      <c r="C100" s="659"/>
      <c r="D100" s="660"/>
      <c r="G100" s="166"/>
    </row>
    <row r="101" spans="1:7" ht="15" outlineLevel="1" x14ac:dyDescent="0.35">
      <c r="A101" s="64" t="s">
        <v>195</v>
      </c>
      <c r="B101" s="109" t="s">
        <v>196</v>
      </c>
      <c r="C101" s="110" t="s">
        <v>44</v>
      </c>
      <c r="D101" s="110" t="s">
        <v>35</v>
      </c>
      <c r="G101" s="166"/>
    </row>
    <row r="102" spans="1:7" ht="15" outlineLevel="2" x14ac:dyDescent="0.35">
      <c r="A102" s="35" t="s">
        <v>36</v>
      </c>
      <c r="B102" s="41" t="s">
        <v>197</v>
      </c>
      <c r="C102" s="45">
        <f>IF(C111&gt;1,(1/30*7)*2,(1/30*7))</f>
        <v>0.23330000000000001</v>
      </c>
      <c r="D102" s="132">
        <f>C102*SUM(D103:D107)</f>
        <v>634.36</v>
      </c>
      <c r="G102" s="166"/>
    </row>
    <row r="103" spans="1:7" ht="15" outlineLevel="3" x14ac:dyDescent="0.35">
      <c r="A103" s="37" t="s">
        <v>177</v>
      </c>
      <c r="B103" s="38" t="s">
        <v>198</v>
      </c>
      <c r="C103" s="35">
        <v>1</v>
      </c>
      <c r="D103" s="131">
        <f>D39</f>
        <v>1383.67</v>
      </c>
      <c r="G103" s="166"/>
    </row>
    <row r="104" spans="1:7" ht="15" outlineLevel="3" x14ac:dyDescent="0.35">
      <c r="A104" s="37" t="s">
        <v>179</v>
      </c>
      <c r="B104" s="38" t="s">
        <v>199</v>
      </c>
      <c r="C104" s="29">
        <f>1/12</f>
        <v>8.3299999999999999E-2</v>
      </c>
      <c r="D104" s="131">
        <f>C104*D103</f>
        <v>115.26</v>
      </c>
      <c r="G104" s="166"/>
    </row>
    <row r="105" spans="1:7" ht="15" outlineLevel="3" x14ac:dyDescent="0.35">
      <c r="A105" s="37" t="s">
        <v>181</v>
      </c>
      <c r="B105" s="38" t="s">
        <v>200</v>
      </c>
      <c r="C105" s="29">
        <f>(1/12)+(1/12/3)</f>
        <v>0.1111</v>
      </c>
      <c r="D105" s="131">
        <f>C105*D103</f>
        <v>153.72999999999999</v>
      </c>
      <c r="G105" s="166"/>
    </row>
    <row r="106" spans="1:7" ht="15" outlineLevel="3" x14ac:dyDescent="0.35">
      <c r="A106" s="37" t="s">
        <v>183</v>
      </c>
      <c r="B106" s="46" t="s">
        <v>63</v>
      </c>
      <c r="C106" s="47">
        <f>C63</f>
        <v>0.36799999999999999</v>
      </c>
      <c r="D106" s="132">
        <f>C106*(D103+D104)</f>
        <v>551.61</v>
      </c>
      <c r="G106" s="166"/>
    </row>
    <row r="107" spans="1:7" ht="15" outlineLevel="3" x14ac:dyDescent="0.35">
      <c r="A107" s="37" t="s">
        <v>201</v>
      </c>
      <c r="B107" s="46" t="s">
        <v>202</v>
      </c>
      <c r="C107" s="42">
        <v>1</v>
      </c>
      <c r="D107" s="132">
        <f>D77</f>
        <v>514.79999999999995</v>
      </c>
      <c r="G107" s="166"/>
    </row>
    <row r="108" spans="1:7" ht="15" outlineLevel="2" x14ac:dyDescent="0.35">
      <c r="A108" s="35" t="s">
        <v>16</v>
      </c>
      <c r="B108" s="36" t="s">
        <v>203</v>
      </c>
      <c r="C108" s="40">
        <v>0.4</v>
      </c>
      <c r="D108" s="131">
        <f>C108*D109</f>
        <v>975.58</v>
      </c>
      <c r="G108" s="166"/>
    </row>
    <row r="109" spans="1:7" ht="15" outlineLevel="2" x14ac:dyDescent="0.35">
      <c r="A109" s="35" t="s">
        <v>186</v>
      </c>
      <c r="B109" s="36" t="s">
        <v>187</v>
      </c>
      <c r="C109" s="40">
        <f>C62</f>
        <v>0.08</v>
      </c>
      <c r="D109" s="131">
        <f>C109*D110</f>
        <v>2438.9499999999998</v>
      </c>
      <c r="G109" s="166"/>
    </row>
    <row r="110" spans="1:7" ht="15" outlineLevel="2" x14ac:dyDescent="0.35">
      <c r="A110" s="35" t="s">
        <v>188</v>
      </c>
      <c r="B110" s="41" t="s">
        <v>116</v>
      </c>
      <c r="C110" s="42" t="s">
        <v>152</v>
      </c>
      <c r="D110" s="132">
        <f>D95</f>
        <v>30486.86</v>
      </c>
      <c r="G110" s="166"/>
    </row>
    <row r="111" spans="1:7" ht="15" outlineLevel="1" x14ac:dyDescent="0.35">
      <c r="A111" s="644" t="s">
        <v>11</v>
      </c>
      <c r="B111" s="645"/>
      <c r="C111" s="67">
        <v>0.94450000000000001</v>
      </c>
      <c r="D111" s="116">
        <f>IF(C111&gt;1,D102+D108,(D102+D108)*C111)</f>
        <v>1520.59</v>
      </c>
      <c r="G111" s="166"/>
    </row>
    <row r="112" spans="1:7" ht="15" outlineLevel="1" x14ac:dyDescent="0.35">
      <c r="A112" s="658"/>
      <c r="B112" s="659"/>
      <c r="C112" s="659"/>
      <c r="D112" s="660"/>
      <c r="G112" s="166"/>
    </row>
    <row r="113" spans="1:7" ht="15" outlineLevel="1" x14ac:dyDescent="0.35">
      <c r="A113" s="64" t="s">
        <v>204</v>
      </c>
      <c r="B113" s="109" t="s">
        <v>205</v>
      </c>
      <c r="C113" s="110" t="s">
        <v>44</v>
      </c>
      <c r="D113" s="110" t="s">
        <v>35</v>
      </c>
      <c r="G113" s="166"/>
    </row>
    <row r="114" spans="1:7" ht="15" outlineLevel="2" x14ac:dyDescent="0.35">
      <c r="A114" s="111" t="s">
        <v>36</v>
      </c>
      <c r="B114" s="31" t="s">
        <v>206</v>
      </c>
      <c r="C114" s="34">
        <f>IF(C12&gt;60,(D39/12*(C12-60))/C12/D39,IF(C12&gt;48,(D39/12*(C12-48))/C12/D39,IF(C12&gt;36,(D39/12*(C12-36))/C12/D39,IF(C12&gt;24,(D39/12*(C12-24))/C12/D39,IF(C12&gt;12,((D39/12*(C12-12))/C12/D39),1/12)))))</f>
        <v>3.3300000000000003E-2</v>
      </c>
      <c r="D114" s="133">
        <f>C114*D39</f>
        <v>46.08</v>
      </c>
      <c r="G114" s="166"/>
    </row>
    <row r="115" spans="1:7" ht="15" outlineLevel="2" x14ac:dyDescent="0.35">
      <c r="A115" s="111" t="s">
        <v>16</v>
      </c>
      <c r="B115" s="48" t="s">
        <v>207</v>
      </c>
      <c r="C115" s="34">
        <f>C114/3</f>
        <v>1.11E-2</v>
      </c>
      <c r="D115" s="134">
        <f>C115*D39</f>
        <v>15.36</v>
      </c>
      <c r="G115" s="166"/>
    </row>
    <row r="116" spans="1:7" ht="15" outlineLevel="1" x14ac:dyDescent="0.35">
      <c r="A116" s="644" t="s">
        <v>11</v>
      </c>
      <c r="B116" s="645"/>
      <c r="C116" s="30">
        <f>C114+C115</f>
        <v>4.4400000000000002E-2</v>
      </c>
      <c r="D116" s="116">
        <f>SUM(D114:D115)</f>
        <v>61.44</v>
      </c>
      <c r="G116" s="166"/>
    </row>
    <row r="117" spans="1:7" ht="15" outlineLevel="1" x14ac:dyDescent="0.35">
      <c r="A117" s="658"/>
      <c r="B117" s="659"/>
      <c r="C117" s="659"/>
      <c r="D117" s="660"/>
      <c r="G117" s="166"/>
    </row>
    <row r="118" spans="1:7" ht="15" outlineLevel="1" x14ac:dyDescent="0.35">
      <c r="A118" s="661" t="s">
        <v>208</v>
      </c>
      <c r="B118" s="662"/>
      <c r="C118" s="110" t="s">
        <v>44</v>
      </c>
      <c r="D118" s="110" t="s">
        <v>35</v>
      </c>
      <c r="G118" s="166"/>
    </row>
    <row r="119" spans="1:7" ht="15" outlineLevel="1" x14ac:dyDescent="0.35">
      <c r="A119" s="111" t="s">
        <v>174</v>
      </c>
      <c r="B119" s="31" t="s">
        <v>175</v>
      </c>
      <c r="C119" s="34">
        <f>C99</f>
        <v>5.5500000000000001E-2</v>
      </c>
      <c r="D119" s="104">
        <f>D99</f>
        <v>162.36000000000001</v>
      </c>
      <c r="G119" s="166"/>
    </row>
    <row r="120" spans="1:7" ht="15" outlineLevel="1" x14ac:dyDescent="0.35">
      <c r="A120" s="113" t="s">
        <v>195</v>
      </c>
      <c r="B120" s="31" t="s">
        <v>196</v>
      </c>
      <c r="C120" s="49">
        <f>C111</f>
        <v>0.94450000000000001</v>
      </c>
      <c r="D120" s="104">
        <f>D111</f>
        <v>1520.59</v>
      </c>
      <c r="G120" s="166"/>
    </row>
    <row r="121" spans="1:7" ht="15" outlineLevel="1" x14ac:dyDescent="0.35">
      <c r="A121" s="679" t="s">
        <v>209</v>
      </c>
      <c r="B121" s="679"/>
      <c r="C121" s="679"/>
      <c r="D121" s="135">
        <f>D119+D120</f>
        <v>1682.95</v>
      </c>
      <c r="G121" s="166"/>
    </row>
    <row r="122" spans="1:7" ht="15" outlineLevel="1" x14ac:dyDescent="0.35">
      <c r="A122" s="675" t="s">
        <v>210</v>
      </c>
      <c r="B122" s="676"/>
      <c r="C122" s="68">
        <v>0.63570000000000004</v>
      </c>
      <c r="D122" s="58">
        <f>C122*D121</f>
        <v>1069.8499999999999</v>
      </c>
      <c r="G122" s="166"/>
    </row>
    <row r="123" spans="1:7" ht="15" outlineLevel="1" x14ac:dyDescent="0.35">
      <c r="A123" s="675" t="s">
        <v>211</v>
      </c>
      <c r="B123" s="676"/>
      <c r="C123" s="68">
        <v>1.0999999999999999E-2</v>
      </c>
      <c r="D123" s="58">
        <f>(D50+(D116/2))*-C123</f>
        <v>-1.61</v>
      </c>
      <c r="G123" s="166"/>
    </row>
    <row r="124" spans="1:7" ht="15" outlineLevel="1" x14ac:dyDescent="0.35">
      <c r="A124" s="677" t="s">
        <v>212</v>
      </c>
      <c r="B124" s="678"/>
      <c r="C124" s="72">
        <f>1/C12</f>
        <v>0.05</v>
      </c>
      <c r="D124" s="59">
        <f>(D122+D123)*C124</f>
        <v>53.41</v>
      </c>
      <c r="G124" s="166"/>
    </row>
    <row r="125" spans="1:7" ht="15" outlineLevel="1" x14ac:dyDescent="0.35">
      <c r="A125" s="113" t="s">
        <v>204</v>
      </c>
      <c r="B125" s="31" t="s">
        <v>213</v>
      </c>
      <c r="C125" s="49"/>
      <c r="D125" s="124">
        <f>D116</f>
        <v>61.44</v>
      </c>
      <c r="G125" s="166"/>
    </row>
    <row r="126" spans="1:7" ht="15" x14ac:dyDescent="0.35">
      <c r="A126" s="644" t="s">
        <v>11</v>
      </c>
      <c r="B126" s="645"/>
      <c r="C126" s="30"/>
      <c r="D126" s="136">
        <f>D124+D125</f>
        <v>114.85</v>
      </c>
      <c r="G126" s="166"/>
    </row>
    <row r="127" spans="1:7" ht="15" x14ac:dyDescent="0.35">
      <c r="A127" s="646"/>
      <c r="B127" s="647"/>
      <c r="C127" s="647"/>
      <c r="D127" s="648"/>
      <c r="G127" s="166"/>
    </row>
    <row r="128" spans="1:7" ht="15" x14ac:dyDescent="0.35">
      <c r="A128" s="663" t="s">
        <v>64</v>
      </c>
      <c r="B128" s="664"/>
      <c r="C128" s="664"/>
      <c r="D128" s="665"/>
      <c r="G128" s="166"/>
    </row>
    <row r="129" spans="1:7" ht="15" hidden="1" outlineLevel="1" x14ac:dyDescent="0.35">
      <c r="A129" s="658"/>
      <c r="B129" s="659"/>
      <c r="C129" s="659"/>
      <c r="D129" s="660"/>
      <c r="G129" s="166"/>
    </row>
    <row r="130" spans="1:7" ht="15" hidden="1" outlineLevel="1" x14ac:dyDescent="0.35">
      <c r="A130" s="110" t="s">
        <v>65</v>
      </c>
      <c r="B130" s="117" t="s">
        <v>214</v>
      </c>
      <c r="C130" s="30" t="s">
        <v>44</v>
      </c>
      <c r="D130" s="110" t="s">
        <v>35</v>
      </c>
      <c r="G130" s="166"/>
    </row>
    <row r="131" spans="1:7" ht="15" hidden="1" outlineLevel="2" x14ac:dyDescent="0.35">
      <c r="A131" s="137" t="s">
        <v>36</v>
      </c>
      <c r="B131" s="89" t="s">
        <v>66</v>
      </c>
      <c r="C131" s="50">
        <f>IF(C12&gt;60,5/C12,IF(C12&gt;48,4/C12,IF(C12&gt;36,3/C12,IF(C12&gt;24,2/C12,IF(C12&gt;12,1/C12,0)))))</f>
        <v>0.05</v>
      </c>
      <c r="D131" s="133">
        <f>SUM(D132:D136)</f>
        <v>89.43</v>
      </c>
      <c r="G131" s="166"/>
    </row>
    <row r="132" spans="1:7" ht="15" hidden="1" outlineLevel="3" x14ac:dyDescent="0.35">
      <c r="A132" s="138" t="s">
        <v>215</v>
      </c>
      <c r="B132" s="90" t="s">
        <v>216</v>
      </c>
      <c r="C132" s="139">
        <f>D39</f>
        <v>1383.67</v>
      </c>
      <c r="D132" s="140">
        <f>$C$131*(D39)-($C$131*(D39)*C137/3)</f>
        <v>69.180000000000007</v>
      </c>
      <c r="G132" s="166"/>
    </row>
    <row r="133" spans="1:7" ht="15" hidden="1" outlineLevel="3" x14ac:dyDescent="0.35">
      <c r="A133" s="138" t="s">
        <v>217</v>
      </c>
      <c r="B133" s="90" t="s">
        <v>218</v>
      </c>
      <c r="C133" s="139">
        <f>(D50)</f>
        <v>115.26</v>
      </c>
      <c r="D133" s="140">
        <f>$C$131*C133-($C$131*C133*C137/3)</f>
        <v>5.76</v>
      </c>
      <c r="G133" s="166"/>
    </row>
    <row r="134" spans="1:7" ht="15" hidden="1" outlineLevel="3" x14ac:dyDescent="0.35">
      <c r="A134" s="138" t="s">
        <v>219</v>
      </c>
      <c r="B134" s="90" t="s">
        <v>220</v>
      </c>
      <c r="C134" s="141">
        <f>(D39/12)+(D51*IF(C12&gt;60,((C12-60)*(1/60))+1,IF(C12&gt;48,((C12-48)*(1/48))+1,IF(C12&gt;36,((C12-36)*(1/36))+1,IF(C12&gt;24,((C12-24)*(1/24))+1,IF(C12&gt;12,((C12-12)*(1/12))+1,1))))))</f>
        <v>153.82</v>
      </c>
      <c r="D134" s="140">
        <f>$C$131*C134-($C$131*C134*C137/3)</f>
        <v>7.69</v>
      </c>
      <c r="G134" s="166"/>
    </row>
    <row r="135" spans="1:7" ht="15" hidden="1" outlineLevel="3" x14ac:dyDescent="0.35">
      <c r="A135" s="138" t="s">
        <v>221</v>
      </c>
      <c r="B135" s="90" t="s">
        <v>222</v>
      </c>
      <c r="C135" s="91">
        <f>C63</f>
        <v>0.36799999999999999</v>
      </c>
      <c r="D135" s="140">
        <f>SUM(D132:D134)*C131</f>
        <v>4.13</v>
      </c>
      <c r="G135" s="166"/>
    </row>
    <row r="136" spans="1:7" ht="15" hidden="1" outlineLevel="3" x14ac:dyDescent="0.35">
      <c r="A136" s="138" t="s">
        <v>223</v>
      </c>
      <c r="B136" s="90" t="s">
        <v>224</v>
      </c>
      <c r="C136" s="141">
        <f>D124</f>
        <v>53.41</v>
      </c>
      <c r="D136" s="140">
        <f>C136*C131</f>
        <v>2.67</v>
      </c>
      <c r="G136" s="166"/>
    </row>
    <row r="137" spans="1:7" ht="15" hidden="1" outlineLevel="2" x14ac:dyDescent="0.35">
      <c r="A137" s="111" t="s">
        <v>16</v>
      </c>
      <c r="B137" s="31" t="s">
        <v>225</v>
      </c>
      <c r="C137" s="92">
        <v>0</v>
      </c>
      <c r="D137" s="124">
        <f>$C$131*(D39)*(C137/3)</f>
        <v>0</v>
      </c>
      <c r="G137" s="166"/>
    </row>
    <row r="138" spans="1:7" ht="15" hidden="1" outlineLevel="1" x14ac:dyDescent="0.35">
      <c r="A138" s="644" t="s">
        <v>226</v>
      </c>
      <c r="B138" s="645"/>
      <c r="C138" s="30">
        <f>C131+(D137/D39)</f>
        <v>0.05</v>
      </c>
      <c r="D138" s="116">
        <f>SUM(D131:D137)</f>
        <v>178.86</v>
      </c>
      <c r="G138" s="166"/>
    </row>
    <row r="139" spans="1:7" ht="15" hidden="1" outlineLevel="1" x14ac:dyDescent="0.35">
      <c r="A139" s="658"/>
      <c r="B139" s="659"/>
      <c r="C139" s="659"/>
      <c r="D139" s="660"/>
      <c r="G139" s="166"/>
    </row>
    <row r="140" spans="1:7" ht="15" hidden="1" outlineLevel="2" x14ac:dyDescent="0.35">
      <c r="A140" s="668" t="s">
        <v>227</v>
      </c>
      <c r="B140" s="142" t="s">
        <v>190</v>
      </c>
      <c r="C140" s="93">
        <v>220</v>
      </c>
      <c r="D140" s="143">
        <f>D39</f>
        <v>1383.67</v>
      </c>
      <c r="G140" s="166"/>
    </row>
    <row r="141" spans="1:7" ht="15" hidden="1" outlineLevel="2" x14ac:dyDescent="0.35">
      <c r="A141" s="669"/>
      <c r="B141" s="142" t="s">
        <v>228</v>
      </c>
      <c r="C141" s="50">
        <f>(1+(1/3)+1)/12</f>
        <v>0.19439999999999999</v>
      </c>
      <c r="D141" s="144">
        <f>D140*C141</f>
        <v>268.99</v>
      </c>
      <c r="G141" s="166"/>
    </row>
    <row r="142" spans="1:7" ht="15" hidden="1" outlineLevel="2" x14ac:dyDescent="0.35">
      <c r="A142" s="669"/>
      <c r="B142" s="142" t="s">
        <v>229</v>
      </c>
      <c r="C142" s="50">
        <f>C63</f>
        <v>0.36799999999999999</v>
      </c>
      <c r="D142" s="144">
        <f>(D140+D141)*C142</f>
        <v>608.17999999999995</v>
      </c>
      <c r="G142" s="166"/>
    </row>
    <row r="143" spans="1:7" ht="15" hidden="1" outlineLevel="2" x14ac:dyDescent="0.35">
      <c r="A143" s="669"/>
      <c r="B143" s="142" t="s">
        <v>230</v>
      </c>
      <c r="C143" s="50">
        <f>D143/D140</f>
        <v>0.37209999999999999</v>
      </c>
      <c r="D143" s="144">
        <f>D77</f>
        <v>514.79999999999995</v>
      </c>
      <c r="G143" s="166"/>
    </row>
    <row r="144" spans="1:7" ht="15" hidden="1" outlineLevel="2" x14ac:dyDescent="0.35">
      <c r="A144" s="670"/>
      <c r="B144" s="145" t="s">
        <v>231</v>
      </c>
      <c r="C144" s="50">
        <f>D144/D140</f>
        <v>3.8600000000000002E-2</v>
      </c>
      <c r="D144" s="144">
        <f>D124</f>
        <v>53.41</v>
      </c>
      <c r="G144" s="166"/>
    </row>
    <row r="145" spans="1:7" ht="15" hidden="1" outlineLevel="2" x14ac:dyDescent="0.35">
      <c r="A145" s="671" t="s">
        <v>232</v>
      </c>
      <c r="B145" s="672"/>
      <c r="C145" s="94">
        <f>D145/D140</f>
        <v>2.0446</v>
      </c>
      <c r="D145" s="146">
        <f>SUM(D140:D144)</f>
        <v>2829.05</v>
      </c>
      <c r="G145" s="166"/>
    </row>
    <row r="146" spans="1:7" ht="15" hidden="1" outlineLevel="2" x14ac:dyDescent="0.35">
      <c r="A146" s="673"/>
      <c r="B146" s="673"/>
      <c r="C146" s="673"/>
      <c r="D146" s="674"/>
      <c r="G146" s="166"/>
    </row>
    <row r="147" spans="1:7" ht="15" hidden="1" outlineLevel="1" x14ac:dyDescent="0.35">
      <c r="A147" s="110" t="s">
        <v>233</v>
      </c>
      <c r="B147" s="117" t="s">
        <v>234</v>
      </c>
      <c r="C147" s="30" t="s">
        <v>44</v>
      </c>
      <c r="D147" s="110" t="s">
        <v>35</v>
      </c>
      <c r="G147" s="166"/>
    </row>
    <row r="148" spans="1:7" ht="15" hidden="1" outlineLevel="2" x14ac:dyDescent="0.35">
      <c r="A148" s="111" t="s">
        <v>16</v>
      </c>
      <c r="B148" s="31" t="s">
        <v>118</v>
      </c>
      <c r="C148" s="77">
        <f>5/252</f>
        <v>1.9800000000000002E-2</v>
      </c>
      <c r="D148" s="133">
        <f>C148*$D$145</f>
        <v>56.02</v>
      </c>
      <c r="G148" s="166"/>
    </row>
    <row r="149" spans="1:7" ht="15" hidden="1" outlineLevel="2" x14ac:dyDescent="0.35">
      <c r="A149" s="111" t="s">
        <v>17</v>
      </c>
      <c r="B149" s="31" t="s">
        <v>119</v>
      </c>
      <c r="C149" s="77">
        <f>1.383/252</f>
        <v>5.4999999999999997E-3</v>
      </c>
      <c r="D149" s="133">
        <f>C149*$D$145</f>
        <v>15.56</v>
      </c>
      <c r="G149" s="166"/>
    </row>
    <row r="150" spans="1:7" ht="15" hidden="1" outlineLevel="2" x14ac:dyDescent="0.35">
      <c r="A150" s="111" t="s">
        <v>19</v>
      </c>
      <c r="B150" s="31" t="s">
        <v>117</v>
      </c>
      <c r="C150" s="77">
        <f>1.3892/252</f>
        <v>5.4999999999999997E-3</v>
      </c>
      <c r="D150" s="133">
        <f t="shared" ref="D150:D153" si="1">C150*$D$145</f>
        <v>15.56</v>
      </c>
      <c r="G150" s="166"/>
    </row>
    <row r="151" spans="1:7" ht="15" hidden="1" outlineLevel="2" x14ac:dyDescent="0.35">
      <c r="A151" s="111" t="s">
        <v>22</v>
      </c>
      <c r="B151" s="31" t="s">
        <v>67</v>
      </c>
      <c r="C151" s="77">
        <f>0.65/252</f>
        <v>2.5999999999999999E-3</v>
      </c>
      <c r="D151" s="133">
        <f t="shared" si="1"/>
        <v>7.36</v>
      </c>
      <c r="G151" s="166"/>
    </row>
    <row r="152" spans="1:7" ht="15" hidden="1" outlineLevel="2" x14ac:dyDescent="0.35">
      <c r="A152" s="111" t="s">
        <v>24</v>
      </c>
      <c r="B152" s="31" t="s">
        <v>68</v>
      </c>
      <c r="C152" s="77">
        <f>0.5052/252</f>
        <v>2E-3</v>
      </c>
      <c r="D152" s="133">
        <f t="shared" si="1"/>
        <v>5.66</v>
      </c>
      <c r="G152" s="166"/>
    </row>
    <row r="153" spans="1:7" ht="15" hidden="1" outlineLevel="2" x14ac:dyDescent="0.35">
      <c r="A153" s="111" t="s">
        <v>36</v>
      </c>
      <c r="B153" s="61" t="s">
        <v>235</v>
      </c>
      <c r="C153" s="69">
        <f>0.2/252</f>
        <v>8.0000000000000004E-4</v>
      </c>
      <c r="D153" s="133">
        <f t="shared" si="1"/>
        <v>2.2599999999999998</v>
      </c>
      <c r="G153" s="166"/>
    </row>
    <row r="154" spans="1:7" ht="15" hidden="1" outlineLevel="1" x14ac:dyDescent="0.35">
      <c r="A154" s="644" t="s">
        <v>226</v>
      </c>
      <c r="B154" s="645"/>
      <c r="C154" s="30">
        <f>SUM(C148:C153)</f>
        <v>3.6200000000000003E-2</v>
      </c>
      <c r="D154" s="116">
        <f>SUM(D148:D153)</f>
        <v>102.42</v>
      </c>
      <c r="G154" s="166"/>
    </row>
    <row r="155" spans="1:7" ht="15" hidden="1" outlineLevel="1" x14ac:dyDescent="0.35">
      <c r="A155" s="658"/>
      <c r="B155" s="659"/>
      <c r="C155" s="659"/>
      <c r="D155" s="660"/>
      <c r="G155" s="166"/>
    </row>
    <row r="156" spans="1:7" ht="15" hidden="1" outlineLevel="1" x14ac:dyDescent="0.35">
      <c r="A156" s="661" t="s">
        <v>236</v>
      </c>
      <c r="B156" s="666"/>
      <c r="C156" s="30" t="s">
        <v>237</v>
      </c>
      <c r="D156" s="110" t="s">
        <v>35</v>
      </c>
      <c r="G156" s="166"/>
    </row>
    <row r="157" spans="1:7" ht="15" hidden="1" outlineLevel="2" x14ac:dyDescent="0.4">
      <c r="A157" s="667" t="s">
        <v>238</v>
      </c>
      <c r="B157" s="142" t="s">
        <v>239</v>
      </c>
      <c r="C157" s="95">
        <f>C153</f>
        <v>8.0000000000000004E-4</v>
      </c>
      <c r="D157" s="147">
        <f>C157*-D140</f>
        <v>-1.1100000000000001</v>
      </c>
      <c r="G157" s="166"/>
    </row>
    <row r="158" spans="1:7" ht="15" hidden="1" outlineLevel="2" x14ac:dyDescent="0.4">
      <c r="A158" s="667"/>
      <c r="B158" s="148" t="s">
        <v>240</v>
      </c>
      <c r="C158" s="96">
        <v>0</v>
      </c>
      <c r="D158" s="149">
        <f>C158*-(D140/220/24*5)</f>
        <v>0</v>
      </c>
      <c r="G158" s="166"/>
    </row>
    <row r="159" spans="1:7" ht="15" hidden="1" outlineLevel="2" x14ac:dyDescent="0.4">
      <c r="A159" s="667"/>
      <c r="B159" s="148" t="s">
        <v>241</v>
      </c>
      <c r="C159" s="96">
        <v>0</v>
      </c>
      <c r="D159" s="149">
        <f>C159*-D141</f>
        <v>0</v>
      </c>
      <c r="G159" s="166"/>
    </row>
    <row r="160" spans="1:7" ht="15" hidden="1" outlineLevel="2" x14ac:dyDescent="0.4">
      <c r="A160" s="667"/>
      <c r="B160" s="142" t="s">
        <v>242</v>
      </c>
      <c r="C160" s="95">
        <f>C154</f>
        <v>3.6200000000000003E-2</v>
      </c>
      <c r="D160" s="147">
        <f>C160*-D66</f>
        <v>-4.13</v>
      </c>
      <c r="G160" s="166"/>
    </row>
    <row r="161" spans="1:7" ht="15" hidden="1" outlineLevel="2" x14ac:dyDescent="0.4">
      <c r="A161" s="667"/>
      <c r="B161" s="142" t="s">
        <v>243</v>
      </c>
      <c r="C161" s="95">
        <f>C154</f>
        <v>3.6200000000000003E-2</v>
      </c>
      <c r="D161" s="147">
        <f>C161*-D69</f>
        <v>-10.5</v>
      </c>
      <c r="G161" s="166"/>
    </row>
    <row r="162" spans="1:7" ht="15" hidden="1" outlineLevel="2" x14ac:dyDescent="0.4">
      <c r="A162" s="667"/>
      <c r="B162" s="145" t="s">
        <v>244</v>
      </c>
      <c r="C162" s="95">
        <f>C153</f>
        <v>8.0000000000000004E-4</v>
      </c>
      <c r="D162" s="147">
        <f>C162*-D74</f>
        <v>0</v>
      </c>
      <c r="G162" s="166"/>
    </row>
    <row r="163" spans="1:7" ht="15" hidden="1" outlineLevel="2" x14ac:dyDescent="0.35">
      <c r="A163" s="667"/>
      <c r="B163" s="145" t="s">
        <v>245</v>
      </c>
      <c r="C163" s="97">
        <f>C152</f>
        <v>2E-3</v>
      </c>
      <c r="D163" s="133">
        <f>C163*-SUM(D55:D61)</f>
        <v>-0.88</v>
      </c>
      <c r="G163" s="166"/>
    </row>
    <row r="164" spans="1:7" ht="15" hidden="1" outlineLevel="2" x14ac:dyDescent="0.4">
      <c r="A164" s="667"/>
      <c r="B164" s="142" t="s">
        <v>246</v>
      </c>
      <c r="C164" s="95">
        <f>C153</f>
        <v>8.0000000000000004E-4</v>
      </c>
      <c r="D164" s="147">
        <f>C164*-D142</f>
        <v>-0.49</v>
      </c>
      <c r="G164" s="166"/>
    </row>
    <row r="165" spans="1:7" ht="15" hidden="1" outlineLevel="1" x14ac:dyDescent="0.35">
      <c r="A165" s="644" t="s">
        <v>247</v>
      </c>
      <c r="B165" s="645"/>
      <c r="C165" s="30">
        <f>D165/D140</f>
        <v>-1.24E-2</v>
      </c>
      <c r="D165" s="116">
        <f>SUM(D157:D164)</f>
        <v>-17.11</v>
      </c>
      <c r="G165" s="166"/>
    </row>
    <row r="166" spans="1:7" ht="15" hidden="1" outlineLevel="1" x14ac:dyDescent="0.35">
      <c r="A166" s="658"/>
      <c r="B166" s="659"/>
      <c r="C166" s="659"/>
      <c r="D166" s="660"/>
      <c r="G166" s="166"/>
    </row>
    <row r="167" spans="1:7" ht="15" hidden="1" outlineLevel="1" x14ac:dyDescent="0.35">
      <c r="A167" s="644" t="s">
        <v>248</v>
      </c>
      <c r="B167" s="645"/>
      <c r="C167" s="30">
        <f>D167/D140</f>
        <v>6.1699999999999998E-2</v>
      </c>
      <c r="D167" s="116">
        <f>D154+D165</f>
        <v>85.31</v>
      </c>
      <c r="G167" s="166"/>
    </row>
    <row r="168" spans="1:7" ht="15" hidden="1" outlineLevel="1" x14ac:dyDescent="0.35">
      <c r="A168" s="658"/>
      <c r="B168" s="659"/>
      <c r="C168" s="659"/>
      <c r="D168" s="660"/>
      <c r="G168" s="166"/>
    </row>
    <row r="169" spans="1:7" ht="15" hidden="1" outlineLevel="1" x14ac:dyDescent="0.35">
      <c r="A169" s="661" t="s">
        <v>249</v>
      </c>
      <c r="B169" s="662"/>
      <c r="C169" s="110" t="s">
        <v>44</v>
      </c>
      <c r="D169" s="110" t="s">
        <v>35</v>
      </c>
      <c r="G169" s="166"/>
    </row>
    <row r="170" spans="1:7" ht="15" hidden="1" outlineLevel="1" x14ac:dyDescent="0.35">
      <c r="A170" s="111" t="s">
        <v>65</v>
      </c>
      <c r="B170" s="31" t="s">
        <v>214</v>
      </c>
      <c r="C170" s="34"/>
      <c r="D170" s="150">
        <f>D138</f>
        <v>178.86</v>
      </c>
      <c r="G170" s="166"/>
    </row>
    <row r="171" spans="1:7" ht="15" hidden="1" outlineLevel="1" x14ac:dyDescent="0.35">
      <c r="A171" s="111" t="s">
        <v>233</v>
      </c>
      <c r="B171" s="31" t="s">
        <v>234</v>
      </c>
      <c r="C171" s="34"/>
      <c r="D171" s="150">
        <f>D167</f>
        <v>85.31</v>
      </c>
      <c r="G171" s="166"/>
    </row>
    <row r="172" spans="1:7" ht="15" collapsed="1" x14ac:dyDescent="0.35">
      <c r="A172" s="644" t="s">
        <v>11</v>
      </c>
      <c r="B172" s="657"/>
      <c r="C172" s="645"/>
      <c r="D172" s="119">
        <f>SUM(D170:D171)</f>
        <v>264.17</v>
      </c>
      <c r="G172" s="166"/>
    </row>
    <row r="173" spans="1:7" ht="15" x14ac:dyDescent="0.35">
      <c r="A173" s="658"/>
      <c r="B173" s="659"/>
      <c r="C173" s="659"/>
      <c r="D173" s="660"/>
      <c r="G173" s="166"/>
    </row>
    <row r="174" spans="1:7" ht="15" x14ac:dyDescent="0.35">
      <c r="A174" s="663" t="s">
        <v>69</v>
      </c>
      <c r="B174" s="664"/>
      <c r="C174" s="664"/>
      <c r="D174" s="665"/>
      <c r="G174" s="166"/>
    </row>
    <row r="175" spans="1:7" ht="15" outlineLevel="1" x14ac:dyDescent="0.35">
      <c r="A175" s="658"/>
      <c r="B175" s="659"/>
      <c r="C175" s="659"/>
      <c r="D175" s="660"/>
      <c r="G175" s="166"/>
    </row>
    <row r="176" spans="1:7" ht="15" outlineLevel="1" x14ac:dyDescent="0.35">
      <c r="A176" s="64">
        <v>5</v>
      </c>
      <c r="B176" s="644" t="s">
        <v>250</v>
      </c>
      <c r="C176" s="645"/>
      <c r="D176" s="110" t="s">
        <v>35</v>
      </c>
      <c r="G176" s="166"/>
    </row>
    <row r="177" spans="1:7" ht="15" outlineLevel="1" x14ac:dyDescent="0.35">
      <c r="A177" s="111" t="s">
        <v>36</v>
      </c>
      <c r="B177" s="655" t="s">
        <v>343</v>
      </c>
      <c r="C177" s="656"/>
      <c r="D177" s="133">
        <f>INSUMOS!H12</f>
        <v>25.07</v>
      </c>
      <c r="G177" s="166"/>
    </row>
    <row r="178" spans="1:7" ht="15" outlineLevel="1" x14ac:dyDescent="0.35">
      <c r="A178" s="111" t="s">
        <v>16</v>
      </c>
      <c r="B178" s="655" t="s">
        <v>369</v>
      </c>
      <c r="C178" s="656"/>
      <c r="D178" s="151">
        <f>INSUMOS!H29</f>
        <v>11.34</v>
      </c>
      <c r="G178" s="166"/>
    </row>
    <row r="179" spans="1:7" ht="15" outlineLevel="1" x14ac:dyDescent="0.35">
      <c r="A179" s="111" t="s">
        <v>17</v>
      </c>
      <c r="B179" s="640" t="s">
        <v>326</v>
      </c>
      <c r="C179" s="642"/>
      <c r="D179" s="151">
        <f>MATERIAIS!F125</f>
        <v>611.75</v>
      </c>
      <c r="G179" s="166"/>
    </row>
    <row r="180" spans="1:7" ht="15" outlineLevel="1" x14ac:dyDescent="0.35">
      <c r="A180" s="111" t="s">
        <v>19</v>
      </c>
      <c r="B180" s="640" t="s">
        <v>325</v>
      </c>
      <c r="C180" s="642"/>
      <c r="D180" s="151">
        <f>EQUIPAMENTOS!G134</f>
        <v>52.07</v>
      </c>
      <c r="G180" s="166"/>
    </row>
    <row r="181" spans="1:7" ht="15" outlineLevel="1" x14ac:dyDescent="0.35">
      <c r="A181" s="111" t="s">
        <v>24</v>
      </c>
      <c r="B181" s="705" t="s">
        <v>39</v>
      </c>
      <c r="C181" s="706"/>
      <c r="D181" s="130">
        <v>0</v>
      </c>
      <c r="G181" s="166"/>
    </row>
    <row r="182" spans="1:7" ht="15" x14ac:dyDescent="0.35">
      <c r="A182" s="644" t="s">
        <v>11</v>
      </c>
      <c r="B182" s="657"/>
      <c r="C182" s="645"/>
      <c r="D182" s="116">
        <f>SUM(D177:D180)</f>
        <v>700.23</v>
      </c>
      <c r="G182" s="166"/>
    </row>
    <row r="183" spans="1:7" ht="15" x14ac:dyDescent="0.35">
      <c r="A183" s="646"/>
      <c r="B183" s="647"/>
      <c r="C183" s="647"/>
      <c r="D183" s="648"/>
      <c r="G183" s="166"/>
    </row>
    <row r="184" spans="1:7" ht="15" x14ac:dyDescent="0.35">
      <c r="A184" s="649" t="s">
        <v>70</v>
      </c>
      <c r="B184" s="649"/>
      <c r="C184" s="649"/>
      <c r="D184" s="152">
        <f>D39+D83+D126+D172+D182</f>
        <v>3676.19</v>
      </c>
      <c r="G184" s="166"/>
    </row>
    <row r="185" spans="1:7" ht="15" x14ac:dyDescent="0.35">
      <c r="A185" s="650"/>
      <c r="B185" s="650"/>
      <c r="C185" s="650"/>
      <c r="D185" s="650"/>
      <c r="G185" s="166"/>
    </row>
    <row r="186" spans="1:7" ht="15" x14ac:dyDescent="0.35">
      <c r="A186" s="651" t="s">
        <v>71</v>
      </c>
      <c r="B186" s="651"/>
      <c r="C186" s="651"/>
      <c r="D186" s="651"/>
      <c r="G186" s="166"/>
    </row>
    <row r="187" spans="1:7" ht="15" outlineLevel="1" x14ac:dyDescent="0.35">
      <c r="A187" s="652"/>
      <c r="B187" s="653"/>
      <c r="C187" s="653"/>
      <c r="D187" s="654"/>
      <c r="G187" s="166"/>
    </row>
    <row r="188" spans="1:7" ht="15" outlineLevel="1" x14ac:dyDescent="0.35">
      <c r="A188" s="64">
        <v>6</v>
      </c>
      <c r="B188" s="117" t="s">
        <v>72</v>
      </c>
      <c r="C188" s="110" t="s">
        <v>44</v>
      </c>
      <c r="D188" s="110" t="s">
        <v>35</v>
      </c>
      <c r="G188" s="166"/>
    </row>
    <row r="189" spans="1:7" ht="15" outlineLevel="1" x14ac:dyDescent="0.35">
      <c r="A189" s="111" t="s">
        <v>36</v>
      </c>
      <c r="B189" s="31" t="s">
        <v>73</v>
      </c>
      <c r="C189" s="70">
        <v>2.6499999999999999E-2</v>
      </c>
      <c r="D189" s="105">
        <f>C189*D184</f>
        <v>97.42</v>
      </c>
      <c r="G189" s="166"/>
    </row>
    <row r="190" spans="1:7" ht="15" outlineLevel="1" x14ac:dyDescent="0.35">
      <c r="A190" s="638" t="s">
        <v>1</v>
      </c>
      <c r="B190" s="639"/>
      <c r="C190" s="643"/>
      <c r="D190" s="105">
        <f>D184+D189</f>
        <v>3773.61</v>
      </c>
      <c r="G190" s="166"/>
    </row>
    <row r="191" spans="1:7" ht="15" outlineLevel="1" x14ac:dyDescent="0.35">
      <c r="A191" s="111" t="s">
        <v>16</v>
      </c>
      <c r="B191" s="31" t="s">
        <v>74</v>
      </c>
      <c r="C191" s="70">
        <v>0.1087</v>
      </c>
      <c r="D191" s="105">
        <f>C191*D190</f>
        <v>410.19</v>
      </c>
      <c r="G191" s="166"/>
    </row>
    <row r="192" spans="1:7" ht="15" outlineLevel="1" x14ac:dyDescent="0.35">
      <c r="A192" s="638" t="s">
        <v>1</v>
      </c>
      <c r="B192" s="639"/>
      <c r="C192" s="639"/>
      <c r="D192" s="105">
        <f>D191+D190</f>
        <v>4183.8</v>
      </c>
      <c r="G192" s="166"/>
    </row>
    <row r="193" spans="1:11" ht="15" outlineLevel="1" x14ac:dyDescent="0.35">
      <c r="A193" s="111" t="s">
        <v>17</v>
      </c>
      <c r="B193" s="640" t="s">
        <v>75</v>
      </c>
      <c r="C193" s="641"/>
      <c r="D193" s="642"/>
      <c r="G193" s="166"/>
    </row>
    <row r="194" spans="1:11" ht="15" outlineLevel="1" x14ac:dyDescent="0.35">
      <c r="A194" s="153"/>
      <c r="B194" s="63" t="s">
        <v>76</v>
      </c>
      <c r="C194" s="70">
        <v>6.4999999999999997E-3</v>
      </c>
      <c r="D194" s="105">
        <f>(D192/(1-C197)*C194)</f>
        <v>28.98</v>
      </c>
      <c r="G194" s="166"/>
    </row>
    <row r="195" spans="1:11" ht="15" outlineLevel="1" x14ac:dyDescent="0.35">
      <c r="A195" s="153"/>
      <c r="B195" s="63" t="s">
        <v>77</v>
      </c>
      <c r="C195" s="70">
        <v>0.03</v>
      </c>
      <c r="D195" s="105">
        <f>(D192/(1-C197)*C195)</f>
        <v>133.74</v>
      </c>
      <c r="G195" s="166"/>
    </row>
    <row r="196" spans="1:11" ht="15" outlineLevel="1" x14ac:dyDescent="0.35">
      <c r="A196" s="153"/>
      <c r="B196" s="63" t="s">
        <v>377</v>
      </c>
      <c r="C196" s="51">
        <v>2.5000000000000001E-2</v>
      </c>
      <c r="D196" s="105">
        <f>(D192/(1-C197)*C196)</f>
        <v>111.45</v>
      </c>
      <c r="G196" s="166"/>
    </row>
    <row r="197" spans="1:11" ht="15" outlineLevel="1" x14ac:dyDescent="0.35">
      <c r="A197" s="638" t="s">
        <v>78</v>
      </c>
      <c r="B197" s="643"/>
      <c r="C197" s="52">
        <f>SUM(C194:C196)</f>
        <v>6.1499999999999999E-2</v>
      </c>
      <c r="D197" s="105">
        <f>SUM(D194:D196)</f>
        <v>274.17</v>
      </c>
      <c r="G197" s="166"/>
    </row>
    <row r="198" spans="1:11" ht="15" x14ac:dyDescent="0.35">
      <c r="A198" s="644" t="s">
        <v>11</v>
      </c>
      <c r="B198" s="645"/>
      <c r="C198" s="53">
        <f>(1+C189)*(1+C191)*(1/(1-C197))-1</f>
        <v>0.2127</v>
      </c>
      <c r="D198" s="108">
        <f>SUM(D197+D189+D191)</f>
        <v>781.78</v>
      </c>
      <c r="G198" s="166"/>
    </row>
    <row r="199" spans="1:11" ht="15" x14ac:dyDescent="0.35">
      <c r="A199" s="646"/>
      <c r="B199" s="647"/>
      <c r="C199" s="647"/>
      <c r="D199" s="648"/>
      <c r="G199" s="166"/>
      <c r="K199" s="166"/>
    </row>
    <row r="200" spans="1:11" ht="15" x14ac:dyDescent="0.35">
      <c r="A200" s="634" t="s">
        <v>79</v>
      </c>
      <c r="B200" s="635"/>
      <c r="C200" s="636"/>
      <c r="D200" s="54" t="s">
        <v>35</v>
      </c>
      <c r="G200" s="166"/>
    </row>
    <row r="201" spans="1:11" ht="15" x14ac:dyDescent="0.35">
      <c r="A201" s="632" t="s">
        <v>80</v>
      </c>
      <c r="B201" s="637"/>
      <c r="C201" s="637"/>
      <c r="D201" s="633"/>
      <c r="G201" s="167"/>
    </row>
    <row r="202" spans="1:11" ht="15" x14ac:dyDescent="0.35">
      <c r="A202" s="65" t="s">
        <v>36</v>
      </c>
      <c r="B202" s="632" t="s">
        <v>81</v>
      </c>
      <c r="C202" s="633"/>
      <c r="D202" s="104">
        <f>D39</f>
        <v>1383.67</v>
      </c>
      <c r="G202" s="166"/>
      <c r="K202" s="166"/>
    </row>
    <row r="203" spans="1:11" ht="15" x14ac:dyDescent="0.35">
      <c r="A203" s="65" t="s">
        <v>16</v>
      </c>
      <c r="B203" s="632" t="s">
        <v>82</v>
      </c>
      <c r="C203" s="633"/>
      <c r="D203" s="104">
        <f>D83</f>
        <v>1213.27</v>
      </c>
      <c r="G203" s="166"/>
      <c r="K203" s="166"/>
    </row>
    <row r="204" spans="1:11" ht="15" x14ac:dyDescent="0.35">
      <c r="A204" s="65" t="s">
        <v>17</v>
      </c>
      <c r="B204" s="632" t="s">
        <v>83</v>
      </c>
      <c r="C204" s="633"/>
      <c r="D204" s="104">
        <f>D126</f>
        <v>114.85</v>
      </c>
      <c r="G204" s="166"/>
      <c r="K204" s="166"/>
    </row>
    <row r="205" spans="1:11" ht="15" x14ac:dyDescent="0.35">
      <c r="A205" s="65" t="s">
        <v>19</v>
      </c>
      <c r="B205" s="632" t="s">
        <v>84</v>
      </c>
      <c r="C205" s="633"/>
      <c r="D205" s="104">
        <f>D172</f>
        <v>264.17</v>
      </c>
      <c r="G205" s="166"/>
      <c r="K205" s="166"/>
    </row>
    <row r="206" spans="1:11" ht="15" x14ac:dyDescent="0.35">
      <c r="A206" s="65" t="s">
        <v>22</v>
      </c>
      <c r="B206" s="632" t="s">
        <v>85</v>
      </c>
      <c r="C206" s="633"/>
      <c r="D206" s="104">
        <f>D182</f>
        <v>700.23</v>
      </c>
      <c r="G206" s="166"/>
      <c r="K206" s="166"/>
    </row>
    <row r="207" spans="1:11" ht="15" x14ac:dyDescent="0.4">
      <c r="A207" s="629" t="s">
        <v>86</v>
      </c>
      <c r="B207" s="630"/>
      <c r="C207" s="631"/>
      <c r="D207" s="104">
        <f>SUM(D202:D206)</f>
        <v>3676.19</v>
      </c>
      <c r="G207" s="166"/>
      <c r="K207" s="166"/>
    </row>
    <row r="208" spans="1:11" ht="15" x14ac:dyDescent="0.35">
      <c r="A208" s="65" t="s">
        <v>87</v>
      </c>
      <c r="B208" s="632" t="s">
        <v>88</v>
      </c>
      <c r="C208" s="633"/>
      <c r="D208" s="104">
        <f>D198</f>
        <v>781.78</v>
      </c>
      <c r="G208" s="166"/>
      <c r="K208" s="166"/>
    </row>
    <row r="209" spans="1:11" ht="15" x14ac:dyDescent="0.35">
      <c r="A209" s="634" t="s">
        <v>89</v>
      </c>
      <c r="B209" s="635"/>
      <c r="C209" s="636"/>
      <c r="D209" s="154">
        <f xml:space="preserve"> D207+D208</f>
        <v>4457.97</v>
      </c>
      <c r="G209" s="166"/>
      <c r="K209" s="166"/>
    </row>
    <row r="210" spans="1:11" ht="15" x14ac:dyDescent="0.4">
      <c r="A210" s="24"/>
      <c r="B210" s="24"/>
      <c r="C210" s="24"/>
      <c r="D210" s="24"/>
    </row>
    <row r="211" spans="1:11" ht="15" thickBot="1" x14ac:dyDescent="0.4">
      <c r="A211" s="17"/>
      <c r="B211" s="17"/>
      <c r="C211" s="17"/>
      <c r="D211" s="17"/>
    </row>
    <row r="212" spans="1:11" ht="15" x14ac:dyDescent="0.35">
      <c r="A212" s="702" t="s">
        <v>274</v>
      </c>
      <c r="B212" s="703"/>
      <c r="C212" s="703"/>
      <c r="D212" s="704"/>
    </row>
    <row r="213" spans="1:11" ht="30" x14ac:dyDescent="0.35">
      <c r="A213" s="170" t="s">
        <v>275</v>
      </c>
      <c r="B213" s="171" t="s">
        <v>278</v>
      </c>
      <c r="C213" s="172" t="s">
        <v>276</v>
      </c>
      <c r="D213" s="173" t="s">
        <v>277</v>
      </c>
    </row>
    <row r="214" spans="1:11" ht="15.5" thickBot="1" x14ac:dyDescent="0.4">
      <c r="A214" s="174">
        <v>1</v>
      </c>
      <c r="B214" s="178">
        <f>IF(A214=0,0,1/((C11)/A214))</f>
        <v>1.557074568E-4</v>
      </c>
      <c r="C214" s="175">
        <f>D209</f>
        <v>4457.97</v>
      </c>
      <c r="D214" s="181">
        <f>C214*B214</f>
        <v>0.694139171</v>
      </c>
    </row>
  </sheetData>
  <mergeCells count="107">
    <mergeCell ref="B206:C206"/>
    <mergeCell ref="A207:C207"/>
    <mergeCell ref="B208:C208"/>
    <mergeCell ref="A209:C209"/>
    <mergeCell ref="A212:D212"/>
    <mergeCell ref="A200:C200"/>
    <mergeCell ref="A201:D201"/>
    <mergeCell ref="B202:C202"/>
    <mergeCell ref="B203:C203"/>
    <mergeCell ref="B204:C204"/>
    <mergeCell ref="B205:C205"/>
    <mergeCell ref="A190:C190"/>
    <mergeCell ref="A192:C192"/>
    <mergeCell ref="B193:D193"/>
    <mergeCell ref="A197:B197"/>
    <mergeCell ref="A198:B198"/>
    <mergeCell ref="A199:D199"/>
    <mergeCell ref="A182:C182"/>
    <mergeCell ref="A183:D183"/>
    <mergeCell ref="A184:C184"/>
    <mergeCell ref="A185:D185"/>
    <mergeCell ref="A186:D186"/>
    <mergeCell ref="A187:D187"/>
    <mergeCell ref="B176:C176"/>
    <mergeCell ref="B177:C177"/>
    <mergeCell ref="B178:C178"/>
    <mergeCell ref="B179:C179"/>
    <mergeCell ref="B180:C180"/>
    <mergeCell ref="B181:C181"/>
    <mergeCell ref="A168:D168"/>
    <mergeCell ref="A169:B169"/>
    <mergeCell ref="A172:C172"/>
    <mergeCell ref="A173:D173"/>
    <mergeCell ref="A174:D174"/>
    <mergeCell ref="A175:D175"/>
    <mergeCell ref="A155:D155"/>
    <mergeCell ref="A156:B156"/>
    <mergeCell ref="A157:A164"/>
    <mergeCell ref="A165:B165"/>
    <mergeCell ref="A166:D166"/>
    <mergeCell ref="A167:B167"/>
    <mergeCell ref="A138:B138"/>
    <mergeCell ref="A139:D139"/>
    <mergeCell ref="A140:A144"/>
    <mergeCell ref="A145:B145"/>
    <mergeCell ref="A146:D146"/>
    <mergeCell ref="A154:B154"/>
    <mergeCell ref="A123:B123"/>
    <mergeCell ref="A124:B124"/>
    <mergeCell ref="A126:B126"/>
    <mergeCell ref="A127:D127"/>
    <mergeCell ref="A128:D128"/>
    <mergeCell ref="A129:D129"/>
    <mergeCell ref="A112:D112"/>
    <mergeCell ref="A116:B116"/>
    <mergeCell ref="A117:D117"/>
    <mergeCell ref="A118:B118"/>
    <mergeCell ref="A121:C121"/>
    <mergeCell ref="A122:B122"/>
    <mergeCell ref="A84:D84"/>
    <mergeCell ref="A85:D85"/>
    <mergeCell ref="A86:D86"/>
    <mergeCell ref="A99:B99"/>
    <mergeCell ref="A100:D100"/>
    <mergeCell ref="A111:B111"/>
    <mergeCell ref="A63:B63"/>
    <mergeCell ref="A64:D64"/>
    <mergeCell ref="A77:C77"/>
    <mergeCell ref="A78:D78"/>
    <mergeCell ref="A79:B79"/>
    <mergeCell ref="A83:C83"/>
    <mergeCell ref="A45:B45"/>
    <mergeCell ref="A46:D46"/>
    <mergeCell ref="A47:D47"/>
    <mergeCell ref="A48:D48"/>
    <mergeCell ref="A52:B52"/>
    <mergeCell ref="A53:D53"/>
    <mergeCell ref="A23:D23"/>
    <mergeCell ref="A24:D24"/>
    <mergeCell ref="A25:D25"/>
    <mergeCell ref="B26:C26"/>
    <mergeCell ref="A39:C39"/>
    <mergeCell ref="A40:D40"/>
    <mergeCell ref="C17:D17"/>
    <mergeCell ref="A18:D18"/>
    <mergeCell ref="B19:C19"/>
    <mergeCell ref="B20:C20"/>
    <mergeCell ref="B21:C21"/>
    <mergeCell ref="B22:C22"/>
    <mergeCell ref="C11:D11"/>
    <mergeCell ref="C12:D12"/>
    <mergeCell ref="A13:D13"/>
    <mergeCell ref="A14:D14"/>
    <mergeCell ref="A15:D15"/>
    <mergeCell ref="C16:D16"/>
    <mergeCell ref="A5:D5"/>
    <mergeCell ref="C6:D6"/>
    <mergeCell ref="C7:D7"/>
    <mergeCell ref="C8:D8"/>
    <mergeCell ref="C9:D9"/>
    <mergeCell ref="C10:D10"/>
    <mergeCell ref="A1:D1"/>
    <mergeCell ref="A2:B2"/>
    <mergeCell ref="C2:D2"/>
    <mergeCell ref="A3:B3"/>
    <mergeCell ref="C3:D3"/>
    <mergeCell ref="A4:D4"/>
  </mergeCells>
  <printOptions horizontalCentered="1" verticalCentered="1"/>
  <pageMargins left="0.98425196850393704" right="0.98425196850393704" top="0.98425196850393704" bottom="0.98425196850393704" header="0.51181102362204722" footer="0.51181102362204722"/>
  <pageSetup paperSize="9" scale="2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28</vt:i4>
      </vt:variant>
    </vt:vector>
  </HeadingPairs>
  <TitlesOfParts>
    <vt:vector size="28" baseType="lpstr">
      <vt:lpstr>VALOR HR</vt:lpstr>
      <vt:lpstr>AJUSTE LANCE </vt:lpstr>
      <vt:lpstr>Resumo</vt:lpstr>
      <vt:lpstr>INSUMOS</vt:lpstr>
      <vt:lpstr>MATERIAIS</vt:lpstr>
      <vt:lpstr>EQUIPAMENTOS</vt:lpstr>
      <vt:lpstr>Planilha1</vt:lpstr>
      <vt:lpstr>SR - ASG int</vt:lpstr>
      <vt:lpstr>SR - ASG GRAT COP</vt:lpstr>
      <vt:lpstr>SR - Encarregado</vt:lpstr>
      <vt:lpstr>SR - ASG ext</vt:lpstr>
      <vt:lpstr>SR - Copeira</vt:lpstr>
      <vt:lpstr>SR - Lavador</vt:lpstr>
      <vt:lpstr>CRA</vt:lpstr>
      <vt:lpstr>CRA COP</vt:lpstr>
      <vt:lpstr>DRS</vt:lpstr>
      <vt:lpstr>DRS COP</vt:lpstr>
      <vt:lpstr>DRS JARD</vt:lpstr>
      <vt:lpstr>TLS</vt:lpstr>
      <vt:lpstr>TLS COP</vt:lpstr>
      <vt:lpstr>TLS JARD</vt:lpstr>
      <vt:lpstr>PPA</vt:lpstr>
      <vt:lpstr>PPA COP</vt:lpstr>
      <vt:lpstr>PPA JARD</vt:lpstr>
      <vt:lpstr>NVI</vt:lpstr>
      <vt:lpstr>NVI COP</vt:lpstr>
      <vt:lpstr>NVI JARD</vt:lpstr>
      <vt:lpstr>2018 MS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Levi Monteiro de Souza</cp:lastModifiedBy>
  <cp:lastPrinted>2022-08-25T20:03:41Z</cp:lastPrinted>
  <dcterms:created xsi:type="dcterms:W3CDTF">2020-03-24T19:39:58Z</dcterms:created>
  <dcterms:modified xsi:type="dcterms:W3CDTF">2023-03-02T16:14:40Z</dcterms:modified>
</cp:coreProperties>
</file>